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U:\Purchasing\Bids_ITNs_RFPs\2023\ITB23KO-103 Parking Garages 3, 7, 9 and 9A Repairs\00-ITB\"/>
    </mc:Choice>
  </mc:AlternateContent>
  <xr:revisionPtr revIDLastSave="0" documentId="13_ncr:1_{0BA224F0-71BF-4211-9693-1391296D9CC1}" xr6:coauthVersionLast="45" xr6:coauthVersionMax="45" xr10:uidLastSave="{00000000-0000-0000-0000-000000000000}"/>
  <bookViews>
    <workbookView xWindow="-120" yWindow="-120" windowWidth="29040" windowHeight="15840" xr2:uid="{118E9496-E2CF-4B30-9246-C0451BD8E956}"/>
  </bookViews>
  <sheets>
    <sheet name="Garage III - WI Schedule" sheetId="13" r:id="rId1"/>
    <sheet name="Garage VII - WI Schedule" sheetId="9" r:id="rId2"/>
    <sheet name="Garage IX - WI Schedule" sheetId="12" r:id="rId3"/>
  </sheets>
  <definedNames>
    <definedName name="BSIEncryption" hidden="1">1</definedName>
    <definedName name="BSIEncryption_0" hidden="1">"Prompt %% 0þPermissions %% 0þOwner %% 0þEnablePrinting %% 1þPrintQuality %% 1þModify %% 1þAnnotations %% 1þSign %% 1þInsert %% 0þCopy %% 1þCopyForAccess %% 1"</definedName>
    <definedName name="BSIPbPageSetupChartSize" hidden="1">1</definedName>
    <definedName name="BSIPbPageSetupChartSize_0" hidden="1">-2146826246</definedName>
    <definedName name="BSIPbPageSetupDraftQuality" hidden="1">1</definedName>
    <definedName name="BSIPbPageSetupDraftQuality_0" hidden="1">0</definedName>
    <definedName name="BSIPbPageSetupDrawingColor" hidden="1">1</definedName>
    <definedName name="BSIPbPageSetupDrawingColor_0" hidden="1">0</definedName>
    <definedName name="BSIPbPageSetupFitToPagesTall" hidden="1">1</definedName>
    <definedName name="BSIPbPageSetupFitToPagesTall_0" hidden="1">1</definedName>
    <definedName name="BSIPbPageSetupFitToPagesWide" hidden="1">1</definedName>
    <definedName name="BSIPbPageSetupFitToPagesWide_0" hidden="1">1</definedName>
    <definedName name="BSIPbPageSetupMediaName" hidden="1">1</definedName>
    <definedName name="BSIPbPageSetupMediaName_0" hidden="1">"ANSI C Sheet (22 x 17 in)"</definedName>
    <definedName name="BSIPbPageSetupPageOrientation" hidden="1">1</definedName>
    <definedName name="BSIPbPageSetupPageOrientation_0" hidden="1">1</definedName>
    <definedName name="BSIPbPageSetupPaperHeight" hidden="1">1</definedName>
    <definedName name="BSIPbPageSetupPaperHeight_0" hidden="1">1224</definedName>
    <definedName name="BSIPbPageSetupPaperMarginBottom" hidden="1">1</definedName>
    <definedName name="BSIPbPageSetupPaperMarginBottom_0" hidden="1">0</definedName>
    <definedName name="BSIPbPageSetupPaperMarginFooter" hidden="1">1</definedName>
    <definedName name="BSIPbPageSetupPaperMarginFooter_0" hidden="1">0</definedName>
    <definedName name="BSIPbPageSetupPaperMarginHeader" hidden="1">1</definedName>
    <definedName name="BSIPbPageSetupPaperMarginHeader_0" hidden="1">0</definedName>
    <definedName name="BSIPbPageSetupPaperMarginLeft" hidden="1">1</definedName>
    <definedName name="BSIPbPageSetupPaperMarginLeft_0" hidden="1">0</definedName>
    <definedName name="BSIPbPageSetupPaperMarginRight" hidden="1">1</definedName>
    <definedName name="BSIPbPageSetupPaperMarginRight_0" hidden="1">0</definedName>
    <definedName name="BSIPbPageSetupPaperMarginTop" hidden="1">1</definedName>
    <definedName name="BSIPbPageSetupPaperMarginTop_0" hidden="1">0</definedName>
    <definedName name="BSIPbPageSetupPaperWidth" hidden="1">1</definedName>
    <definedName name="BSIPbPageSetupPaperWidth_0" hidden="1">1584</definedName>
    <definedName name="BSIPbPageSetupPlotSizeType" hidden="1">1</definedName>
    <definedName name="BSIPbPageSetupPlotSizeType_0" hidden="1">1</definedName>
    <definedName name="BSIPbPageSetupPrintCellErrors" hidden="1">1</definedName>
    <definedName name="BSIPbPageSetupPrintCellErrors_0" hidden="1">0</definedName>
    <definedName name="BSIPbPageSetupPrintComments" hidden="1">1</definedName>
    <definedName name="BSIPbPageSetupPrintComments_0" hidden="1">-4142</definedName>
    <definedName name="BSIPbPageSetupPrintGridlines" hidden="1">1</definedName>
    <definedName name="BSIPbPageSetupPrintGridlines_0" hidden="1">0</definedName>
    <definedName name="BSIPbPageSetupUseStandardMargins" hidden="1">1</definedName>
    <definedName name="BSIPbPageSetupUseStandardMargins_0" hidden="1">1</definedName>
    <definedName name="BSIPbPageSetupUseZoom" hidden="1">1</definedName>
    <definedName name="BSIPbPageSetupUseZoom_0" hidden="1">0</definedName>
    <definedName name="BSIPbPageSetupZoom" hidden="1">1</definedName>
    <definedName name="BSIPbPageSetupZoom_0" hidden="1">100</definedName>
    <definedName name="BSIPlots" hidden="1">1</definedName>
    <definedName name="BSIPlots_0" hidden="1">"0þ0þ0þ0þ0þ0þ1þ0þ100þ1þ1þ1þ0þ0þ0þ-4142þ0þ-2146826246þ1þANSI C Sheet (22 x 17 in)þ1584þ1224"</definedName>
    <definedName name="BSIWhichPageSetup" hidden="1">1</definedName>
    <definedName name="BSIWhichPageSetup_0" hidden="1">"1þ"</definedName>
    <definedName name="_xlnm.Print_Area" localSheetId="0">'Garage III - WI Schedule'!$B$5:$M$19</definedName>
    <definedName name="_xlnm.Print_Area" localSheetId="2">'Garage IX - WI Schedule'!$B$5:$Q$51</definedName>
    <definedName name="_xlnm.Print_Area" localSheetId="1">'Garage VII - WI Schedule'!$B$5:$O$65</definedName>
    <definedName name="_xlnm.Print_Titles" localSheetId="0">'Garage III - WI Schedule'!$1:$3</definedName>
    <definedName name="_xlnm.Print_Titles" localSheetId="2">'Garage IX - WI Schedule'!$1:$3</definedName>
    <definedName name="_xlnm.Print_Titles" localSheetId="1">'Garage VII - WI Schedule'!$1:$3</definedName>
  </definedNames>
  <calcPr calcId="191028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" i="13" l="1"/>
  <c r="I15" i="13"/>
  <c r="I14" i="13"/>
  <c r="M12" i="13"/>
  <c r="I12" i="13"/>
  <c r="H20" i="12"/>
  <c r="G30" i="12"/>
  <c r="H30" i="12"/>
  <c r="G44" i="12"/>
  <c r="F44" i="12"/>
  <c r="J44" i="12" s="1"/>
  <c r="M44" i="12" s="1"/>
  <c r="I26" i="12"/>
  <c r="J26" i="12" s="1"/>
  <c r="M26" i="12" s="1"/>
  <c r="N32" i="12"/>
  <c r="J32" i="12"/>
  <c r="M32" i="12" s="1"/>
  <c r="G21" i="12"/>
  <c r="F20" i="12"/>
  <c r="H37" i="12"/>
  <c r="G46" i="12" s="1"/>
  <c r="G20" i="12"/>
  <c r="I37" i="12"/>
  <c r="I46" i="12" s="1"/>
  <c r="H46" i="12" s="1"/>
  <c r="H21" i="12"/>
  <c r="I21" i="12"/>
  <c r="F25" i="12"/>
  <c r="F23" i="12" s="1"/>
  <c r="G25" i="12"/>
  <c r="G23" i="12" s="1"/>
  <c r="H25" i="12"/>
  <c r="H23" i="12" s="1"/>
  <c r="I25" i="12"/>
  <c r="I23" i="12" s="1"/>
  <c r="I30" i="12"/>
  <c r="I29" i="12"/>
  <c r="G29" i="12"/>
  <c r="H29" i="12"/>
  <c r="G38" i="9"/>
  <c r="F38" i="9"/>
  <c r="F36" i="9"/>
  <c r="G36" i="9"/>
  <c r="G35" i="9"/>
  <c r="F35" i="9"/>
  <c r="G34" i="9"/>
  <c r="F34" i="9"/>
  <c r="G33" i="12"/>
  <c r="H33" i="12"/>
  <c r="I33" i="12"/>
  <c r="I31" i="12"/>
  <c r="H31" i="12"/>
  <c r="G31" i="12"/>
  <c r="I20" i="12"/>
  <c r="L35" i="12"/>
  <c r="I35" i="12"/>
  <c r="I47" i="12"/>
  <c r="J47" i="12" s="1"/>
  <c r="M47" i="12" s="1"/>
  <c r="L34" i="12"/>
  <c r="F34" i="12"/>
  <c r="N34" i="12" s="1"/>
  <c r="G43" i="12"/>
  <c r="G62" i="9"/>
  <c r="H62" i="9" s="1"/>
  <c r="K62" i="9" s="1"/>
  <c r="G61" i="9"/>
  <c r="H61" i="9" s="1"/>
  <c r="K61" i="9" s="1"/>
  <c r="G54" i="9"/>
  <c r="F54" i="9"/>
  <c r="F24" i="9"/>
  <c r="F29" i="9"/>
  <c r="G29" i="9"/>
  <c r="F19" i="9"/>
  <c r="E38" i="9"/>
  <c r="E35" i="9"/>
  <c r="E34" i="9"/>
  <c r="E31" i="9"/>
  <c r="E50" i="9"/>
  <c r="H50" i="9" s="1"/>
  <c r="K50" i="9" s="1"/>
  <c r="E24" i="9"/>
  <c r="E19" i="9"/>
  <c r="E26" i="9"/>
  <c r="E21" i="9"/>
  <c r="G23" i="9"/>
  <c r="I21" i="13" l="1"/>
  <c r="H8" i="13" s="1"/>
  <c r="I8" i="13" s="1"/>
  <c r="I22" i="13" s="1"/>
  <c r="L38" i="9"/>
  <c r="N46" i="12"/>
  <c r="L46" i="12" s="1"/>
  <c r="M46" i="12" s="1"/>
  <c r="J21" i="12"/>
  <c r="M21" i="12" s="1"/>
  <c r="J23" i="12"/>
  <c r="M23" i="12" s="1"/>
  <c r="J34" i="12"/>
  <c r="M34" i="12" s="1"/>
  <c r="J43" i="12"/>
  <c r="M43" i="12" s="1"/>
  <c r="E14" i="9"/>
  <c r="F14" i="9"/>
  <c r="G46" i="9"/>
  <c r="L46" i="9" s="1"/>
  <c r="K46" i="9" s="1"/>
  <c r="E54" i="9"/>
  <c r="G41" i="9"/>
  <c r="G58" i="9" s="1"/>
  <c r="H59" i="9"/>
  <c r="K59" i="9" s="1"/>
  <c r="G31" i="9"/>
  <c r="F31" i="9"/>
  <c r="H29" i="9"/>
  <c r="K29" i="9" s="1"/>
  <c r="F27" i="9"/>
  <c r="G27" i="9"/>
  <c r="G17" i="9"/>
  <c r="I14" i="12"/>
  <c r="J14" i="12" s="1"/>
  <c r="M14" i="12" s="1"/>
  <c r="F41" i="9"/>
  <c r="L41" i="9" s="1"/>
  <c r="F43" i="9"/>
  <c r="L43" i="9" s="1"/>
  <c r="E37" i="9"/>
  <c r="F37" i="9"/>
  <c r="H21" i="9"/>
  <c r="K21" i="9" s="1"/>
  <c r="F26" i="9"/>
  <c r="G26" i="9"/>
  <c r="G16" i="9"/>
  <c r="L35" i="9"/>
  <c r="L34" i="9"/>
  <c r="M41" i="12"/>
  <c r="K48" i="9"/>
  <c r="H24" i="9"/>
  <c r="K24" i="9" s="1"/>
  <c r="J39" i="12"/>
  <c r="M39" i="12" s="1"/>
  <c r="J35" i="12"/>
  <c r="M35" i="12" s="1"/>
  <c r="N33" i="12"/>
  <c r="L33" i="12" s="1"/>
  <c r="M33" i="12" s="1"/>
  <c r="J28" i="12"/>
  <c r="M28" i="12" s="1"/>
  <c r="J25" i="12"/>
  <c r="M25" i="12" s="1"/>
  <c r="J20" i="12"/>
  <c r="M20" i="12" s="1"/>
  <c r="J18" i="12"/>
  <c r="M18" i="12" s="1"/>
  <c r="J16" i="12"/>
  <c r="M16" i="12" s="1"/>
  <c r="Q12" i="12"/>
  <c r="M12" i="12"/>
  <c r="H17" i="9"/>
  <c r="K17" i="9" s="1"/>
  <c r="H39" i="9"/>
  <c r="K39" i="9" s="1"/>
  <c r="L14" i="9" l="1"/>
  <c r="J43" i="9"/>
  <c r="K43" i="9" s="1"/>
  <c r="F58" i="9"/>
  <c r="L58" i="9" s="1"/>
  <c r="J58" i="9" s="1"/>
  <c r="L36" i="9"/>
  <c r="J36" i="9" s="1"/>
  <c r="J14" i="9"/>
  <c r="K14" i="9" s="1"/>
  <c r="L44" i="9"/>
  <c r="H27" i="9"/>
  <c r="K27" i="9" s="1"/>
  <c r="H37" i="9"/>
  <c r="K37" i="9" s="1"/>
  <c r="N30" i="12"/>
  <c r="L30" i="12" s="1"/>
  <c r="M30" i="12" s="1"/>
  <c r="N37" i="12"/>
  <c r="L37" i="12" s="1"/>
  <c r="M37" i="12" s="1"/>
  <c r="N29" i="12"/>
  <c r="L29" i="12" s="1"/>
  <c r="M29" i="12" s="1"/>
  <c r="N31" i="12"/>
  <c r="L31" i="12" s="1"/>
  <c r="M31" i="12" s="1"/>
  <c r="J48" i="12"/>
  <c r="M48" i="12" s="1"/>
  <c r="H54" i="9"/>
  <c r="J44" i="9" l="1"/>
  <c r="K44" i="9" s="1"/>
  <c r="M53" i="12"/>
  <c r="L8" i="12" s="1"/>
  <c r="M8" i="12" s="1"/>
  <c r="M54" i="12" s="1"/>
  <c r="K58" i="9"/>
  <c r="K54" i="9"/>
  <c r="J41" i="9"/>
  <c r="H31" i="9"/>
  <c r="H26" i="9"/>
  <c r="K41" i="9" l="1"/>
  <c r="K26" i="9"/>
  <c r="K36" i="9"/>
  <c r="K31" i="9"/>
  <c r="J34" i="9"/>
  <c r="K34" i="9" s="1"/>
  <c r="J38" i="9"/>
  <c r="K38" i="9" l="1"/>
  <c r="H23" i="9"/>
  <c r="O12" i="9"/>
  <c r="H19" i="9"/>
  <c r="J35" i="9" l="1"/>
  <c r="K35" i="9" l="1"/>
  <c r="K56" i="9"/>
  <c r="H33" i="9"/>
  <c r="H16" i="9"/>
  <c r="K23" i="9" l="1"/>
  <c r="K33" i="9" l="1"/>
  <c r="K19" i="9"/>
  <c r="K16" i="9"/>
  <c r="K12" i="9"/>
  <c r="K67" i="9" l="1"/>
  <c r="J8" i="9" s="1"/>
  <c r="K8" i="9" l="1"/>
  <c r="K68" i="9" s="1"/>
</calcChain>
</file>

<file path=xl/sharedStrings.xml><?xml version="1.0" encoding="utf-8"?>
<sst xmlns="http://schemas.openxmlformats.org/spreadsheetml/2006/main" count="317" uniqueCount="112">
  <si>
    <t>2020 R.A. Beard Parking Garage Repairs</t>
  </si>
  <si>
    <t>Tampa, Florida</t>
  </si>
  <si>
    <t>Walker Project 15-2302.10</t>
  </si>
  <si>
    <t>WORK ITEM SCHEDULE</t>
  </si>
  <si>
    <t>WORK ITEM</t>
  </si>
  <si>
    <t>DESCRIPTION</t>
  </si>
  <si>
    <t>UNITS</t>
  </si>
  <si>
    <t>GROUND LEVEL</t>
  </si>
  <si>
    <t>LEVEL 2</t>
  </si>
  <si>
    <t>ROOF LEVEL</t>
  </si>
  <si>
    <t>TOTAL QUANTITY</t>
  </si>
  <si>
    <t>UNIT COST</t>
  </si>
  <si>
    <t>EXTENSION</t>
  </si>
  <si>
    <t>GENERAL REQUIREMENTS</t>
  </si>
  <si>
    <t>Project Mobilization</t>
  </si>
  <si>
    <t>L.S.</t>
  </si>
  <si>
    <t>XX</t>
  </si>
  <si>
    <t>Concrete Shores and Reshores</t>
  </si>
  <si>
    <t>Incidental to W.I. 1.1</t>
  </si>
  <si>
    <t>Incidental</t>
  </si>
  <si>
    <t>Concrete Reinforcement</t>
  </si>
  <si>
    <t>Temporary Signage</t>
  </si>
  <si>
    <t>Owner's Contingency</t>
  </si>
  <si>
    <t>FLOOR SURFACE PREPARATION</t>
  </si>
  <si>
    <t>Floor Preparation - Traffic Topping Removal</t>
  </si>
  <si>
    <t>L.S. (S.F.)*</t>
  </si>
  <si>
    <t>1 (900)</t>
  </si>
  <si>
    <t>CONCRETE FLOOR REPAIR</t>
  </si>
  <si>
    <t>Floor Repair - Partial Depth</t>
  </si>
  <si>
    <t>S.F.</t>
  </si>
  <si>
    <t>Stair Nosing Repair</t>
  </si>
  <si>
    <t>CONCRETE CEILING REPAIR</t>
  </si>
  <si>
    <t>Ceiling Repair - Partial Depth</t>
  </si>
  <si>
    <t>CONCRETE BEAM REPAIR</t>
  </si>
  <si>
    <t>Beam Repair - Partial Depth</t>
  </si>
  <si>
    <t>CONCRETE COLUMN REPAIR</t>
  </si>
  <si>
    <t>Column Repair - Partial Depth</t>
  </si>
  <si>
    <t>Column Repair - Haunch</t>
  </si>
  <si>
    <t>CONCRETE WALL REPAIR</t>
  </si>
  <si>
    <t>Wall Repair - Partial Depth</t>
  </si>
  <si>
    <t>EA.</t>
  </si>
  <si>
    <t>EXPANSION JOINT PREPARATION</t>
  </si>
  <si>
    <t>Expansion Joint Preparation - Prepare Block-out</t>
  </si>
  <si>
    <t>L.F.</t>
  </si>
  <si>
    <t>EXPANSION JOINT REPAIR AND REPLACEMENT</t>
  </si>
  <si>
    <t>Expansion Joint - Elastomeric Concrete Edged</t>
  </si>
  <si>
    <t>CRACK AND JOINT REPAIR</t>
  </si>
  <si>
    <t>Seal Cracks and Joints</t>
  </si>
  <si>
    <t>Repair Crack / Joint Sealant</t>
  </si>
  <si>
    <t>L.S. (L.F.)*</t>
  </si>
  <si>
    <t>Vertical Joint Sealant</t>
  </si>
  <si>
    <t>Repalce Tee-to-Tee Joint Sealant</t>
  </si>
  <si>
    <t>Epoxy Injection</t>
  </si>
  <si>
    <t>Cove Sealant</t>
  </si>
  <si>
    <t>1 (2790)</t>
  </si>
  <si>
    <t>Replace Louver Frame Sealant</t>
  </si>
  <si>
    <t>PROTECTIVE SEALER</t>
  </si>
  <si>
    <t>Concrete Sealer - Floors</t>
  </si>
  <si>
    <t>1 (50330)</t>
  </si>
  <si>
    <t>TRAFFIC TOPPING</t>
  </si>
  <si>
    <t>Traffic Topping - Vehicular</t>
  </si>
  <si>
    <t>1 (7720)</t>
  </si>
  <si>
    <t>Traffic Topping - Grand Stair</t>
  </si>
  <si>
    <t>CEMENTITOUS COATING</t>
  </si>
  <si>
    <t>Install Cementitious Coating on Faces of Column</t>
  </si>
  <si>
    <t>1 (576)</t>
  </si>
  <si>
    <t>MECHANICAL - DRAINAGE</t>
  </si>
  <si>
    <t>Clean Existing Floor Drains</t>
  </si>
  <si>
    <t>DOORS, FRAMES, AND HARDWARE</t>
  </si>
  <si>
    <t>Tuckpointing</t>
  </si>
  <si>
    <t>Repair Abrasive Nosings</t>
  </si>
  <si>
    <t>MISCELLANEOUS METALS</t>
  </si>
  <si>
    <t>Remove and Replace Handrails</t>
  </si>
  <si>
    <t>PAINTING</t>
  </si>
  <si>
    <t>Paint Traffic Markings</t>
  </si>
  <si>
    <t>1 (58050)</t>
  </si>
  <si>
    <t>Clean and Paint Light Pole Base</t>
  </si>
  <si>
    <t>DOORS AND WINDOWS</t>
  </si>
  <si>
    <t>Reseal Window Frame Joint</t>
  </si>
  <si>
    <t>Window Glazing Cap Seal</t>
  </si>
  <si>
    <t>*For information only</t>
  </si>
  <si>
    <t xml:space="preserve">Project Grand Total: </t>
  </si>
  <si>
    <t>NOTES:</t>
  </si>
  <si>
    <t>1. XX Lump Sum work to be performed on this level.</t>
  </si>
  <si>
    <t>Rough Cost Opinion</t>
  </si>
  <si>
    <t>LEVEL 3</t>
  </si>
  <si>
    <t>LEVEL 4</t>
  </si>
  <si>
    <t>Replace Flashing Sealant</t>
  </si>
  <si>
    <t>Traffic Topping - Recoat</t>
  </si>
  <si>
    <t>Clean and Paint Bollard/Pipe Guard</t>
  </si>
  <si>
    <t>Expansion Joint- Elastomeric Concrete Edged</t>
  </si>
  <si>
    <t>Wall Repair - Lifting Lug/Wall Grout Pocket</t>
  </si>
  <si>
    <t>1 (3080)</t>
  </si>
  <si>
    <t>1 (660)</t>
  </si>
  <si>
    <t>1 (5890)</t>
  </si>
  <si>
    <t>1 (179960)</t>
  </si>
  <si>
    <t>1 (93580)</t>
  </si>
  <si>
    <t>1 (8250)</t>
  </si>
  <si>
    <t>1 (17710)</t>
  </si>
  <si>
    <t>1 (5970)</t>
  </si>
  <si>
    <t>Clean and Paint Light Pole Base Cover</t>
  </si>
  <si>
    <t>Expansion Joint- Foam Seal</t>
  </si>
  <si>
    <t>Guardrail Repair - Edge Spall</t>
  </si>
  <si>
    <t>Reset Guardrail</t>
  </si>
  <si>
    <t>1 (1186)</t>
  </si>
  <si>
    <t>Install Guardrail Beneath Stairs</t>
  </si>
  <si>
    <t>Install Bollard</t>
  </si>
  <si>
    <t>Remove Existing Storefront</t>
  </si>
  <si>
    <t>WORK ITEM SCHEDULE - GARAGE III</t>
  </si>
  <si>
    <t>WORK ITEM SCHEDULE - GARAGE VII</t>
  </si>
  <si>
    <t>WORK ITEM SCHEDULE - GARAGE IX</t>
  </si>
  <si>
    <t>ITB23KO-103 ATTACHMENT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</si>
</sst>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2"/>
      <name val="Helv"/>
    </font>
    <font>
      <b/>
      <sz val="16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4" fillId="0" borderId="0"/>
    <xf numFmtId="0" fontId="1" fillId="0" borderId="0"/>
  </cellStyleXfs>
  <cellXfs count="117">
    <xf numFmtId="0" fontId="0" fillId="0" borderId="0" xfId="0"/>
    <xf numFmtId="0" fontId="1" fillId="0" borderId="1" xfId="0" applyFont="1" applyBorder="1"/>
    <xf numFmtId="0" fontId="3" fillId="0" borderId="7" xfId="4" applyFont="1" applyBorder="1"/>
    <xf numFmtId="0" fontId="3" fillId="0" borderId="8" xfId="4" applyFont="1" applyBorder="1"/>
    <xf numFmtId="0" fontId="3" fillId="0" borderId="9" xfId="4" applyFont="1" applyBorder="1"/>
    <xf numFmtId="0" fontId="2" fillId="0" borderId="6" xfId="4" applyFont="1" applyBorder="1" applyAlignment="1">
      <alignment horizontal="center" wrapText="1"/>
    </xf>
    <xf numFmtId="0" fontId="2" fillId="0" borderId="15" xfId="4" applyFont="1" applyBorder="1"/>
    <xf numFmtId="0" fontId="2" fillId="0" borderId="15" xfId="4" applyFont="1" applyBorder="1" applyAlignment="1">
      <alignment horizontal="center"/>
    </xf>
    <xf numFmtId="0" fontId="2" fillId="0" borderId="15" xfId="4" applyFont="1" applyBorder="1" applyAlignment="1">
      <alignment horizontal="center" wrapText="1"/>
    </xf>
    <xf numFmtId="0" fontId="2" fillId="0" borderId="11" xfId="4" applyFont="1" applyBorder="1" applyAlignment="1">
      <alignment horizontal="center" wrapText="1"/>
    </xf>
    <xf numFmtId="0" fontId="2" fillId="0" borderId="6" xfId="4" applyFont="1" applyBorder="1" applyAlignment="1">
      <alignment horizontal="center"/>
    </xf>
    <xf numFmtId="0" fontId="2" fillId="0" borderId="11" xfId="4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164" fontId="2" fillId="0" borderId="5" xfId="4" quotePrefix="1" applyNumberFormat="1" applyFont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0" fontId="2" fillId="0" borderId="2" xfId="4" applyFont="1" applyBorder="1"/>
    <xf numFmtId="164" fontId="2" fillId="0" borderId="5" xfId="4" applyNumberFormat="1" applyFont="1" applyBorder="1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1" fillId="0" borderId="2" xfId="4" applyBorder="1"/>
    <xf numFmtId="0" fontId="1" fillId="0" borderId="10" xfId="4" applyBorder="1"/>
    <xf numFmtId="0" fontId="1" fillId="0" borderId="5" xfId="4" applyBorder="1"/>
    <xf numFmtId="164" fontId="1" fillId="0" borderId="4" xfId="1" quotePrefix="1" applyNumberFormat="1" applyFont="1" applyBorder="1" applyAlignment="1">
      <alignment horizontal="center"/>
    </xf>
    <xf numFmtId="0" fontId="1" fillId="0" borderId="1" xfId="4" applyBorder="1" applyAlignment="1">
      <alignment wrapText="1"/>
    </xf>
    <xf numFmtId="0" fontId="1" fillId="0" borderId="1" xfId="4" applyBorder="1" applyAlignment="1">
      <alignment horizontal="center"/>
    </xf>
    <xf numFmtId="0" fontId="1" fillId="0" borderId="1" xfId="4" quotePrefix="1" applyBorder="1" applyAlignment="1">
      <alignment horizontal="center"/>
    </xf>
    <xf numFmtId="0" fontId="1" fillId="0" borderId="3" xfId="4" applyBorder="1" applyAlignment="1">
      <alignment horizontal="center"/>
    </xf>
    <xf numFmtId="44" fontId="1" fillId="0" borderId="5" xfId="4" applyNumberFormat="1" applyBorder="1"/>
    <xf numFmtId="44" fontId="1" fillId="0" borderId="3" xfId="2" applyFont="1" applyBorder="1"/>
    <xf numFmtId="44" fontId="1" fillId="0" borderId="4" xfId="4" applyNumberFormat="1" applyBorder="1"/>
    <xf numFmtId="44" fontId="1" fillId="0" borderId="10" xfId="2" applyFont="1" applyBorder="1"/>
    <xf numFmtId="44" fontId="1" fillId="0" borderId="5" xfId="2" applyFont="1" applyBorder="1"/>
    <xf numFmtId="0" fontId="1" fillId="0" borderId="5" xfId="2" applyNumberFormat="1" applyFont="1" applyBorder="1"/>
    <xf numFmtId="0" fontId="1" fillId="0" borderId="10" xfId="2" applyNumberFormat="1" applyFont="1" applyBorder="1"/>
    <xf numFmtId="0" fontId="1" fillId="0" borderId="4" xfId="4" applyBorder="1" applyAlignment="1">
      <alignment horizontal="center"/>
    </xf>
    <xf numFmtId="0" fontId="1" fillId="0" borderId="1" xfId="4" applyBorder="1"/>
    <xf numFmtId="0" fontId="1" fillId="0" borderId="18" xfId="4" applyBorder="1" applyAlignment="1">
      <alignment horizontal="center"/>
    </xf>
    <xf numFmtId="44" fontId="1" fillId="0" borderId="4" xfId="2" applyFont="1" applyBorder="1"/>
    <xf numFmtId="0" fontId="1" fillId="0" borderId="4" xfId="2" applyNumberFormat="1" applyFont="1" applyBorder="1"/>
    <xf numFmtId="0" fontId="1" fillId="0" borderId="3" xfId="2" applyNumberFormat="1" applyFont="1" applyBorder="1"/>
    <xf numFmtId="0" fontId="1" fillId="0" borderId="12" xfId="4" applyBorder="1"/>
    <xf numFmtId="0" fontId="1" fillId="0" borderId="1" xfId="4" applyBorder="1" applyAlignment="1">
      <alignment horizontal="left"/>
    </xf>
    <xf numFmtId="44" fontId="1" fillId="0" borderId="0" xfId="4" applyNumberFormat="1"/>
    <xf numFmtId="0" fontId="1" fillId="0" borderId="5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26" xfId="4" applyBorder="1" applyAlignment="1">
      <alignment horizontal="center"/>
    </xf>
    <xf numFmtId="0" fontId="1" fillId="0" borderId="25" xfId="4" applyBorder="1" applyAlignment="1">
      <alignment horizontal="center"/>
    </xf>
    <xf numFmtId="44" fontId="1" fillId="0" borderId="25" xfId="2" applyFont="1" applyBorder="1"/>
    <xf numFmtId="0" fontId="1" fillId="0" borderId="23" xfId="2" applyNumberFormat="1" applyFont="1" applyBorder="1"/>
    <xf numFmtId="164" fontId="2" fillId="0" borderId="5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164" fontId="1" fillId="0" borderId="4" xfId="1" quotePrefix="1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5" xfId="1" quotePrefix="1" applyNumberFormat="1" applyFont="1" applyFill="1" applyBorder="1" applyAlignment="1">
      <alignment horizontal="center"/>
    </xf>
    <xf numFmtId="0" fontId="2" fillId="0" borderId="2" xfId="0" applyFont="1" applyBorder="1"/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1" fillId="0" borderId="23" xfId="1" quotePrefix="1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7" xfId="4" applyBorder="1"/>
    <xf numFmtId="0" fontId="1" fillId="0" borderId="28" xfId="4" applyBorder="1"/>
    <xf numFmtId="0" fontId="1" fillId="0" borderId="21" xfId="4" applyBorder="1"/>
    <xf numFmtId="0" fontId="1" fillId="0" borderId="22" xfId="4" applyBorder="1"/>
    <xf numFmtId="0" fontId="8" fillId="0" borderId="20" xfId="0" applyFont="1" applyBorder="1"/>
    <xf numFmtId="0" fontId="8" fillId="0" borderId="16" xfId="0" applyFont="1" applyBorder="1"/>
    <xf numFmtId="0" fontId="7" fillId="0" borderId="21" xfId="0" applyFont="1" applyBorder="1" applyAlignment="1">
      <alignment horizontal="center"/>
    </xf>
    <xf numFmtId="44" fontId="7" fillId="0" borderId="0" xfId="0" applyNumberFormat="1" applyFont="1" applyAlignment="1">
      <alignment horizontal="center"/>
    </xf>
    <xf numFmtId="0" fontId="0" fillId="0" borderId="17" xfId="0" applyBorder="1"/>
    <xf numFmtId="0" fontId="1" fillId="0" borderId="29" xfId="2" applyNumberFormat="1" applyFont="1" applyBorder="1"/>
    <xf numFmtId="0" fontId="1" fillId="0" borderId="30" xfId="2" applyNumberFormat="1" applyFont="1" applyBorder="1"/>
    <xf numFmtId="2" fontId="1" fillId="0" borderId="4" xfId="4" applyNumberFormat="1" applyBorder="1" applyAlignment="1">
      <alignment horizontal="center"/>
    </xf>
    <xf numFmtId="1" fontId="1" fillId="0" borderId="0" xfId="4" applyNumberFormat="1"/>
    <xf numFmtId="1" fontId="1" fillId="0" borderId="18" xfId="4" applyNumberFormat="1" applyBorder="1" applyAlignment="1">
      <alignment horizontal="center"/>
    </xf>
    <xf numFmtId="1" fontId="1" fillId="0" borderId="1" xfId="4" applyNumberFormat="1" applyBorder="1" applyAlignment="1">
      <alignment horizontal="center"/>
    </xf>
    <xf numFmtId="44" fontId="1" fillId="0" borderId="4" xfId="2" applyFont="1" applyFill="1" applyBorder="1"/>
    <xf numFmtId="44" fontId="1" fillId="0" borderId="23" xfId="2" applyFont="1" applyFill="1" applyBorder="1"/>
    <xf numFmtId="0" fontId="1" fillId="0" borderId="1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0" xfId="4" applyBorder="1" applyAlignment="1">
      <alignment horizontal="center"/>
    </xf>
    <xf numFmtId="0" fontId="1" fillId="0" borderId="2" xfId="4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2" fillId="0" borderId="19" xfId="0" quotePrefix="1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1" fillId="0" borderId="13" xfId="4" applyBorder="1" applyAlignment="1">
      <alignment horizontal="center"/>
    </xf>
    <xf numFmtId="0" fontId="1" fillId="0" borderId="20" xfId="4" applyBorder="1" applyAlignment="1">
      <alignment horizontal="center"/>
    </xf>
    <xf numFmtId="44" fontId="1" fillId="0" borderId="31" xfId="2" applyFont="1" applyBorder="1"/>
    <xf numFmtId="44" fontId="1" fillId="0" borderId="32" xfId="2" applyFont="1" applyBorder="1"/>
    <xf numFmtId="0" fontId="1" fillId="0" borderId="21" xfId="2" applyNumberFormat="1" applyFont="1" applyBorder="1"/>
    <xf numFmtId="0" fontId="1" fillId="0" borderId="12" xfId="2" applyNumberFormat="1" applyFont="1" applyBorder="1"/>
    <xf numFmtId="0" fontId="7" fillId="0" borderId="13" xfId="0" applyFont="1" applyBorder="1"/>
    <xf numFmtId="44" fontId="1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/>
    <xf numFmtId="0" fontId="7" fillId="0" borderId="17" xfId="0" applyFont="1" applyBorder="1"/>
    <xf numFmtId="44" fontId="1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33" xfId="2" applyNumberFormat="1" applyFont="1" applyBorder="1"/>
    <xf numFmtId="44" fontId="1" fillId="0" borderId="34" xfId="2" applyFont="1" applyBorder="1"/>
    <xf numFmtId="0" fontId="1" fillId="0" borderId="7" xfId="2" applyNumberFormat="1" applyFont="1" applyBorder="1"/>
    <xf numFmtId="0" fontId="1" fillId="0" borderId="9" xfId="2" applyNumberFormat="1" applyFont="1" applyBorder="1"/>
    <xf numFmtId="0" fontId="1" fillId="0" borderId="5" xfId="4" applyBorder="1" applyAlignment="1">
      <alignment horizontal="center"/>
    </xf>
    <xf numFmtId="0" fontId="1" fillId="0" borderId="10" xfId="4" applyBorder="1" applyAlignment="1">
      <alignment horizontal="center"/>
    </xf>
    <xf numFmtId="0" fontId="5" fillId="0" borderId="0" xfId="4" applyFont="1" applyAlignment="1">
      <alignment horizontal="left"/>
    </xf>
    <xf numFmtId="0" fontId="1" fillId="0" borderId="14" xfId="4" applyBorder="1" applyAlignment="1">
      <alignment horizontal="center"/>
    </xf>
    <xf numFmtId="0" fontId="1" fillId="0" borderId="2" xfId="4" applyBorder="1" applyAlignment="1">
      <alignment horizontal="center"/>
    </xf>
    <xf numFmtId="0" fontId="7" fillId="0" borderId="19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3" fillId="0" borderId="7" xfId="4" applyFont="1" applyBorder="1" applyAlignment="1">
      <alignment horizontal="center"/>
    </xf>
    <xf numFmtId="0" fontId="3" fillId="0" borderId="8" xfId="4" applyFont="1" applyBorder="1" applyAlignment="1">
      <alignment horizontal="center"/>
    </xf>
    <xf numFmtId="0" fontId="3" fillId="0" borderId="9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B6F12D91-FA14-4405-9ED5-5F4EB0A93263}"/>
    <cellStyle name="Normal 3" xfId="3" xr:uid="{4FF415E2-2C76-4BE9-A53F-EE98CCC5AD3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5A216-4C0A-4C2B-8748-3DB16627851C}">
  <sheetPr>
    <pageSetUpPr fitToPage="1"/>
  </sheetPr>
  <dimension ref="B1:N23"/>
  <sheetViews>
    <sheetView showGridLines="0" tabSelected="1" topLeftCell="A4" zoomScale="80" zoomScaleNormal="80" workbookViewId="0">
      <selection activeCell="A4" sqref="A4"/>
    </sheetView>
  </sheetViews>
  <sheetFormatPr defaultColWidth="9.140625" defaultRowHeight="12.75" x14ac:dyDescent="0.2"/>
  <cols>
    <col min="1" max="1" width="9.140625" style="17"/>
    <col min="2" max="2" width="14.42578125" style="17" customWidth="1"/>
    <col min="3" max="3" width="60.42578125" style="17" bestFit="1" customWidth="1"/>
    <col min="4" max="4" width="10.85546875" style="18" customWidth="1"/>
    <col min="5" max="5" width="8.85546875" style="18" hidden="1" customWidth="1"/>
    <col min="6" max="6" width="18.85546875" style="17" bestFit="1" customWidth="1"/>
    <col min="7" max="7" width="9.140625" style="17" hidden="1" customWidth="1"/>
    <col min="8" max="8" width="20.7109375" style="17" hidden="1" customWidth="1"/>
    <col min="9" max="9" width="15.5703125" style="17" hidden="1" customWidth="1"/>
    <col min="10" max="10" width="22.140625" style="17" hidden="1" customWidth="1"/>
    <col min="11" max="11" width="5.5703125" style="17" customWidth="1"/>
    <col min="12" max="13" width="15.7109375" style="17" customWidth="1"/>
    <col min="14" max="14" width="10.140625" style="17" customWidth="1"/>
    <col min="15" max="16384" width="9.140625" style="17"/>
  </cols>
  <sheetData>
    <row r="1" spans="2:13" ht="20.25" hidden="1" x14ac:dyDescent="0.3">
      <c r="B1" s="107" t="s">
        <v>0</v>
      </c>
      <c r="C1" s="107"/>
      <c r="D1" s="107"/>
      <c r="E1" s="107"/>
    </row>
    <row r="2" spans="2:13" ht="20.25" hidden="1" x14ac:dyDescent="0.3">
      <c r="B2" s="107" t="s">
        <v>1</v>
      </c>
      <c r="C2" s="107"/>
    </row>
    <row r="3" spans="2:13" ht="20.25" hidden="1" x14ac:dyDescent="0.3">
      <c r="B3" s="107" t="s">
        <v>2</v>
      </c>
      <c r="C3" s="107"/>
    </row>
    <row r="4" spans="2:13" ht="34.5" thickTop="1" thickBot="1" x14ac:dyDescent="0.5">
      <c r="B4" s="114" t="s">
        <v>111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2:13" ht="34.5" thickTop="1" thickBot="1" x14ac:dyDescent="0.5">
      <c r="B5" s="114" t="s">
        <v>108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6"/>
    </row>
    <row r="6" spans="2:13" ht="26.25" customHeight="1" thickTop="1" x14ac:dyDescent="0.2">
      <c r="B6" s="5" t="s">
        <v>4</v>
      </c>
      <c r="C6" s="6" t="s">
        <v>5</v>
      </c>
      <c r="D6" s="7" t="s">
        <v>6</v>
      </c>
      <c r="E6" s="8" t="s">
        <v>8</v>
      </c>
      <c r="F6" s="9" t="s">
        <v>10</v>
      </c>
      <c r="H6" s="10" t="s">
        <v>11</v>
      </c>
      <c r="I6" s="11" t="s">
        <v>12</v>
      </c>
      <c r="L6" s="10" t="s">
        <v>11</v>
      </c>
      <c r="M6" s="11" t="s">
        <v>12</v>
      </c>
    </row>
    <row r="7" spans="2:13" ht="20.100000000000001" customHeight="1" x14ac:dyDescent="0.2">
      <c r="B7" s="13">
        <v>1</v>
      </c>
      <c r="C7" s="12" t="s">
        <v>13</v>
      </c>
      <c r="D7" s="19"/>
      <c r="E7" s="19"/>
      <c r="F7" s="20"/>
      <c r="H7" s="21"/>
      <c r="I7" s="20"/>
      <c r="L7" s="21"/>
      <c r="M7" s="20"/>
    </row>
    <row r="8" spans="2:13" ht="20.100000000000001" customHeight="1" x14ac:dyDescent="0.2">
      <c r="B8" s="22">
        <v>1.1000000000000001</v>
      </c>
      <c r="C8" s="23" t="s">
        <v>14</v>
      </c>
      <c r="D8" s="24" t="s">
        <v>15</v>
      </c>
      <c r="E8" s="25" t="s">
        <v>16</v>
      </c>
      <c r="F8" s="26">
        <v>1</v>
      </c>
      <c r="H8" s="27">
        <f>I21*0.1</f>
        <v>2500</v>
      </c>
      <c r="I8" s="28">
        <f>H8*F8</f>
        <v>2500</v>
      </c>
      <c r="L8" s="21"/>
      <c r="M8" s="28"/>
    </row>
    <row r="9" spans="2:13" ht="20.100000000000001" customHeight="1" x14ac:dyDescent="0.2">
      <c r="B9" s="22">
        <v>1.3</v>
      </c>
      <c r="C9" s="23" t="s">
        <v>17</v>
      </c>
      <c r="D9" s="108" t="s">
        <v>18</v>
      </c>
      <c r="E9" s="109"/>
      <c r="F9" s="106"/>
      <c r="H9" s="105" t="s">
        <v>19</v>
      </c>
      <c r="I9" s="106"/>
      <c r="L9" s="105" t="s">
        <v>18</v>
      </c>
      <c r="M9" s="106"/>
    </row>
    <row r="10" spans="2:13" ht="20.100000000000001" customHeight="1" x14ac:dyDescent="0.2">
      <c r="B10" s="22">
        <v>1.4</v>
      </c>
      <c r="C10" s="23" t="s">
        <v>20</v>
      </c>
      <c r="D10" s="108" t="s">
        <v>18</v>
      </c>
      <c r="E10" s="109"/>
      <c r="F10" s="106"/>
      <c r="H10" s="105" t="s">
        <v>19</v>
      </c>
      <c r="I10" s="106"/>
      <c r="L10" s="105" t="s">
        <v>18</v>
      </c>
      <c r="M10" s="106"/>
    </row>
    <row r="11" spans="2:13" ht="20.100000000000001" customHeight="1" x14ac:dyDescent="0.2">
      <c r="B11" s="22">
        <v>1.5</v>
      </c>
      <c r="C11" s="23" t="s">
        <v>21</v>
      </c>
      <c r="D11" s="108" t="s">
        <v>18</v>
      </c>
      <c r="E11" s="109"/>
      <c r="F11" s="106"/>
      <c r="H11" s="105" t="s">
        <v>19</v>
      </c>
      <c r="I11" s="106"/>
      <c r="L11" s="105" t="s">
        <v>18</v>
      </c>
      <c r="M11" s="106"/>
    </row>
    <row r="12" spans="2:13" ht="20.100000000000001" customHeight="1" x14ac:dyDescent="0.2">
      <c r="B12" s="22">
        <v>1.7</v>
      </c>
      <c r="C12" s="23" t="s">
        <v>22</v>
      </c>
      <c r="D12" s="24" t="s">
        <v>15</v>
      </c>
      <c r="E12" s="25" t="s">
        <v>16</v>
      </c>
      <c r="F12" s="26">
        <v>1</v>
      </c>
      <c r="H12" s="29">
        <v>5000</v>
      </c>
      <c r="I12" s="30">
        <f>F12*H12</f>
        <v>5000</v>
      </c>
      <c r="L12" s="29">
        <v>5000</v>
      </c>
      <c r="M12" s="30">
        <f>L12</f>
        <v>5000</v>
      </c>
    </row>
    <row r="13" spans="2:13" ht="19.899999999999999" customHeight="1" x14ac:dyDescent="0.2">
      <c r="B13" s="13">
        <v>43</v>
      </c>
      <c r="C13" s="14" t="s">
        <v>71</v>
      </c>
      <c r="D13" s="84"/>
      <c r="E13" s="84"/>
      <c r="F13" s="83"/>
      <c r="H13" s="31"/>
      <c r="I13" s="30"/>
      <c r="L13" s="32"/>
      <c r="M13" s="33"/>
    </row>
    <row r="14" spans="2:13" ht="20.100000000000001" customHeight="1" x14ac:dyDescent="0.2">
      <c r="B14" s="22">
        <v>43.5</v>
      </c>
      <c r="C14" s="41" t="s">
        <v>107</v>
      </c>
      <c r="D14" s="24" t="s">
        <v>15</v>
      </c>
      <c r="E14" s="36" t="s">
        <v>16</v>
      </c>
      <c r="F14" s="26">
        <v>1</v>
      </c>
      <c r="G14" s="40"/>
      <c r="H14" s="37">
        <v>10000</v>
      </c>
      <c r="I14" s="28">
        <f>H14*F14</f>
        <v>10000</v>
      </c>
      <c r="K14" s="40"/>
      <c r="L14" s="38"/>
      <c r="M14" s="28"/>
    </row>
    <row r="15" spans="2:13" ht="20.100000000000001" customHeight="1" x14ac:dyDescent="0.2">
      <c r="B15" s="22">
        <v>43.6</v>
      </c>
      <c r="C15" s="41" t="s">
        <v>105</v>
      </c>
      <c r="D15" s="24" t="s">
        <v>40</v>
      </c>
      <c r="E15" s="36">
        <v>1</v>
      </c>
      <c r="F15" s="26">
        <v>1</v>
      </c>
      <c r="G15" s="40"/>
      <c r="H15" s="37">
        <v>5000</v>
      </c>
      <c r="I15" s="28">
        <f>H15*F15</f>
        <v>5000</v>
      </c>
      <c r="K15" s="40"/>
      <c r="L15" s="38"/>
      <c r="M15" s="28"/>
    </row>
    <row r="16" spans="2:13" ht="20.100000000000001" customHeight="1" thickBot="1" x14ac:dyDescent="0.25">
      <c r="B16" s="22">
        <v>43.7</v>
      </c>
      <c r="C16" s="41" t="s">
        <v>106</v>
      </c>
      <c r="D16" s="24" t="s">
        <v>40</v>
      </c>
      <c r="E16" s="36">
        <v>2</v>
      </c>
      <c r="F16" s="26">
        <v>2</v>
      </c>
      <c r="G16" s="40"/>
      <c r="H16" s="37">
        <v>2500</v>
      </c>
      <c r="I16" s="28">
        <f>H16*F16</f>
        <v>5000</v>
      </c>
      <c r="K16" s="40"/>
      <c r="L16" s="38"/>
      <c r="M16" s="28"/>
    </row>
    <row r="17" spans="2:14" customFormat="1" ht="20.100000000000001" hidden="1" customHeight="1" thickTop="1" thickBot="1" x14ac:dyDescent="0.3">
      <c r="B17" s="86"/>
      <c r="C17" s="87"/>
      <c r="D17" s="85"/>
      <c r="E17" s="88"/>
      <c r="F17" s="89" t="s">
        <v>80</v>
      </c>
      <c r="G17" s="64"/>
      <c r="H17" s="90"/>
      <c r="I17" s="91"/>
      <c r="J17" s="66"/>
      <c r="K17" s="40"/>
      <c r="L17" s="92"/>
      <c r="M17" s="93"/>
      <c r="N17" s="70"/>
    </row>
    <row r="18" spans="2:14" ht="20.100000000000001" customHeight="1" thickTop="1" x14ac:dyDescent="0.25">
      <c r="B18" s="110" t="s">
        <v>81</v>
      </c>
      <c r="C18" s="111"/>
      <c r="D18" s="111"/>
      <c r="E18" s="111"/>
      <c r="F18" s="111"/>
      <c r="G18" s="94"/>
      <c r="H18" s="94"/>
      <c r="I18" s="95"/>
      <c r="J18" s="96"/>
      <c r="K18" s="97"/>
      <c r="L18" s="97"/>
      <c r="M18" s="68"/>
    </row>
    <row r="19" spans="2:14" ht="20.100000000000001" customHeight="1" thickBot="1" x14ac:dyDescent="0.3">
      <c r="B19" s="112"/>
      <c r="C19" s="113"/>
      <c r="D19" s="113"/>
      <c r="E19" s="113"/>
      <c r="F19" s="113"/>
      <c r="G19" s="98"/>
      <c r="H19" s="98"/>
      <c r="I19" s="99"/>
      <c r="J19" s="100"/>
      <c r="K19" s="72"/>
      <c r="L19" s="72"/>
      <c r="M19" s="69"/>
    </row>
    <row r="20" spans="2:14" ht="20.100000000000001" hidden="1" customHeight="1" thickTop="1" x14ac:dyDescent="0.2">
      <c r="B20" s="17" t="s">
        <v>82</v>
      </c>
    </row>
    <row r="21" spans="2:14" ht="13.5" hidden="1" thickTop="1" x14ac:dyDescent="0.2">
      <c r="B21" s="17" t="s">
        <v>83</v>
      </c>
      <c r="I21" s="42">
        <f>SUM(I12:I16)</f>
        <v>25000</v>
      </c>
    </row>
    <row r="22" spans="2:14" ht="20.100000000000001" hidden="1" customHeight="1" x14ac:dyDescent="0.2">
      <c r="G22" s="17" t="s">
        <v>84</v>
      </c>
      <c r="I22" s="42">
        <f>SUM(I12:I16,I8)</f>
        <v>27500</v>
      </c>
    </row>
    <row r="23" spans="2:14" ht="20.100000000000001" customHeight="1" thickTop="1" x14ac:dyDescent="0.2"/>
  </sheetData>
  <mergeCells count="15">
    <mergeCell ref="B18:F19"/>
    <mergeCell ref="D10:F10"/>
    <mergeCell ref="H10:I10"/>
    <mergeCell ref="L10:M10"/>
    <mergeCell ref="D11:F11"/>
    <mergeCell ref="H11:I11"/>
    <mergeCell ref="L11:M11"/>
    <mergeCell ref="L9:M9"/>
    <mergeCell ref="B1:E1"/>
    <mergeCell ref="B2:C2"/>
    <mergeCell ref="B3:C3"/>
    <mergeCell ref="D9:F9"/>
    <mergeCell ref="H9:I9"/>
    <mergeCell ref="B4:M4"/>
    <mergeCell ref="B5:M5"/>
  </mergeCells>
  <printOptions horizontalCentered="1"/>
  <pageMargins left="0.25" right="0.25" top="0.75" bottom="0.75" header="0.3" footer="0.3"/>
  <pageSetup scale="73" orientation="portrait" r:id="rId1"/>
  <headerFooter scaleWithDoc="0" alignWithMargins="0">
    <oddHeader>&amp;C&amp;12ATTACHMENT A
ITB23KO-103</oddHead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5E90C-C9D7-4418-BFD7-24655A322D82}">
  <sheetPr>
    <pageSetUpPr fitToPage="1"/>
  </sheetPr>
  <dimension ref="B1:Q77"/>
  <sheetViews>
    <sheetView showGridLines="0" topLeftCell="A4" zoomScale="80" zoomScaleNormal="80" workbookViewId="0">
      <selection activeCell="A4" sqref="A4"/>
    </sheetView>
  </sheetViews>
  <sheetFormatPr defaultColWidth="9.140625" defaultRowHeight="12.75" x14ac:dyDescent="0.2"/>
  <cols>
    <col min="1" max="1" width="9.140625" style="17"/>
    <col min="2" max="2" width="14.42578125" style="17" customWidth="1"/>
    <col min="3" max="3" width="60.42578125" style="17" bestFit="1" customWidth="1"/>
    <col min="4" max="4" width="10.85546875" style="18" customWidth="1"/>
    <col min="5" max="5" width="10.140625" style="18" hidden="1" customWidth="1"/>
    <col min="6" max="7" width="8.85546875" style="18" hidden="1" customWidth="1"/>
    <col min="8" max="8" width="18.85546875" style="17" bestFit="1" customWidth="1"/>
    <col min="9" max="9" width="9.140625" style="17" hidden="1" customWidth="1"/>
    <col min="10" max="10" width="20.7109375" style="17" hidden="1" customWidth="1"/>
    <col min="11" max="11" width="15.5703125" style="17" hidden="1" customWidth="1"/>
    <col min="12" max="12" width="22.140625" style="17" hidden="1" customWidth="1"/>
    <col min="13" max="13" width="5.5703125" style="17" customWidth="1"/>
    <col min="14" max="15" width="15.7109375" style="17" customWidth="1"/>
    <col min="16" max="16" width="10.140625" style="17" customWidth="1"/>
    <col min="17" max="17" width="9.140625" style="17" customWidth="1"/>
    <col min="18" max="19" width="9.140625" style="17"/>
    <col min="20" max="20" width="5.42578125" style="17" customWidth="1"/>
    <col min="21" max="21" width="6.28515625" style="17" customWidth="1"/>
    <col min="22" max="22" width="4.7109375" style="17" customWidth="1"/>
    <col min="23" max="16384" width="9.140625" style="17"/>
  </cols>
  <sheetData>
    <row r="1" spans="2:15" ht="20.25" hidden="1" x14ac:dyDescent="0.3">
      <c r="B1" s="107" t="s">
        <v>0</v>
      </c>
      <c r="C1" s="107"/>
      <c r="D1" s="107"/>
      <c r="E1" s="107"/>
      <c r="F1" s="107"/>
    </row>
    <row r="2" spans="2:15" ht="20.25" hidden="1" x14ac:dyDescent="0.3">
      <c r="B2" s="107" t="s">
        <v>1</v>
      </c>
      <c r="C2" s="107"/>
    </row>
    <row r="3" spans="2:15" ht="20.25" hidden="1" x14ac:dyDescent="0.3">
      <c r="B3" s="107" t="s">
        <v>2</v>
      </c>
      <c r="C3" s="107"/>
    </row>
    <row r="4" spans="2:15" ht="34.5" thickTop="1" thickBot="1" x14ac:dyDescent="0.5">
      <c r="B4" s="114" t="s">
        <v>111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2:15" ht="34.5" thickTop="1" thickBot="1" x14ac:dyDescent="0.5">
      <c r="B5" s="114" t="s">
        <v>109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2:15" ht="26.25" thickTop="1" x14ac:dyDescent="0.2">
      <c r="B6" s="5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 t="s">
        <v>9</v>
      </c>
      <c r="H6" s="9" t="s">
        <v>10</v>
      </c>
      <c r="J6" s="10" t="s">
        <v>11</v>
      </c>
      <c r="K6" s="11" t="s">
        <v>12</v>
      </c>
      <c r="N6" s="10" t="s">
        <v>11</v>
      </c>
      <c r="O6" s="11" t="s">
        <v>12</v>
      </c>
    </row>
    <row r="7" spans="2:15" ht="20.100000000000001" customHeight="1" x14ac:dyDescent="0.2">
      <c r="B7" s="13">
        <v>1</v>
      </c>
      <c r="C7" s="12" t="s">
        <v>13</v>
      </c>
      <c r="D7" s="19"/>
      <c r="E7" s="19"/>
      <c r="F7" s="19"/>
      <c r="G7" s="19"/>
      <c r="H7" s="20"/>
      <c r="J7" s="21"/>
      <c r="K7" s="20"/>
      <c r="N7" s="21"/>
      <c r="O7" s="20"/>
    </row>
    <row r="8" spans="2:15" ht="20.100000000000001" customHeight="1" x14ac:dyDescent="0.2">
      <c r="B8" s="22">
        <v>1.1000000000000001</v>
      </c>
      <c r="C8" s="23" t="s">
        <v>14</v>
      </c>
      <c r="D8" s="24" t="s">
        <v>15</v>
      </c>
      <c r="E8" s="25" t="s">
        <v>16</v>
      </c>
      <c r="F8" s="25" t="s">
        <v>16</v>
      </c>
      <c r="G8" s="25" t="s">
        <v>16</v>
      </c>
      <c r="H8" s="26">
        <v>1</v>
      </c>
      <c r="J8" s="27">
        <f>K67*0.1</f>
        <v>31655.050000000003</v>
      </c>
      <c r="K8" s="28">
        <f>J8*H8</f>
        <v>31655.050000000003</v>
      </c>
      <c r="N8" s="21"/>
      <c r="O8" s="28"/>
    </row>
    <row r="9" spans="2:15" ht="20.100000000000001" customHeight="1" x14ac:dyDescent="0.2">
      <c r="B9" s="22">
        <v>1.3</v>
      </c>
      <c r="C9" s="23" t="s">
        <v>17</v>
      </c>
      <c r="D9" s="108" t="s">
        <v>18</v>
      </c>
      <c r="E9" s="109"/>
      <c r="F9" s="109"/>
      <c r="G9" s="109"/>
      <c r="H9" s="106"/>
      <c r="J9" s="105" t="s">
        <v>19</v>
      </c>
      <c r="K9" s="106"/>
      <c r="N9" s="105" t="s">
        <v>18</v>
      </c>
      <c r="O9" s="106"/>
    </row>
    <row r="10" spans="2:15" ht="20.100000000000001" customHeight="1" x14ac:dyDescent="0.2">
      <c r="B10" s="22">
        <v>1.4</v>
      </c>
      <c r="C10" s="23" t="s">
        <v>20</v>
      </c>
      <c r="D10" s="108" t="s">
        <v>18</v>
      </c>
      <c r="E10" s="109"/>
      <c r="F10" s="109"/>
      <c r="G10" s="109"/>
      <c r="H10" s="106"/>
      <c r="J10" s="105" t="s">
        <v>19</v>
      </c>
      <c r="K10" s="106"/>
      <c r="N10" s="105" t="s">
        <v>18</v>
      </c>
      <c r="O10" s="106"/>
    </row>
    <row r="11" spans="2:15" ht="20.100000000000001" customHeight="1" x14ac:dyDescent="0.2">
      <c r="B11" s="22">
        <v>1.5</v>
      </c>
      <c r="C11" s="23" t="s">
        <v>21</v>
      </c>
      <c r="D11" s="108" t="s">
        <v>18</v>
      </c>
      <c r="E11" s="109"/>
      <c r="F11" s="109"/>
      <c r="G11" s="109"/>
      <c r="H11" s="106"/>
      <c r="J11" s="105" t="s">
        <v>19</v>
      </c>
      <c r="K11" s="106"/>
      <c r="N11" s="105" t="s">
        <v>18</v>
      </c>
      <c r="O11" s="106"/>
    </row>
    <row r="12" spans="2:15" ht="20.100000000000001" customHeight="1" x14ac:dyDescent="0.2">
      <c r="B12" s="22">
        <v>1.7</v>
      </c>
      <c r="C12" s="23" t="s">
        <v>22</v>
      </c>
      <c r="D12" s="24" t="s">
        <v>15</v>
      </c>
      <c r="E12" s="25" t="s">
        <v>16</v>
      </c>
      <c r="F12" s="25" t="s">
        <v>16</v>
      </c>
      <c r="G12" s="25" t="s">
        <v>16</v>
      </c>
      <c r="H12" s="26">
        <v>1</v>
      </c>
      <c r="J12" s="29">
        <v>50000</v>
      </c>
      <c r="K12" s="30">
        <f>H12*J12</f>
        <v>50000</v>
      </c>
      <c r="N12" s="29">
        <v>20000</v>
      </c>
      <c r="O12" s="30">
        <f>N12</f>
        <v>20000</v>
      </c>
    </row>
    <row r="13" spans="2:15" ht="20.100000000000001" customHeight="1" x14ac:dyDescent="0.2">
      <c r="B13" s="13">
        <v>2</v>
      </c>
      <c r="C13" s="14" t="s">
        <v>23</v>
      </c>
      <c r="D13" s="19"/>
      <c r="E13" s="45"/>
      <c r="F13" s="45"/>
      <c r="G13" s="45"/>
      <c r="H13" s="44"/>
      <c r="J13" s="31"/>
      <c r="K13" s="30"/>
      <c r="N13" s="32"/>
      <c r="O13" s="33"/>
    </row>
    <row r="14" spans="2:15" ht="20.100000000000001" customHeight="1" x14ac:dyDescent="0.2">
      <c r="B14" s="34">
        <v>2.6</v>
      </c>
      <c r="C14" s="35" t="s">
        <v>24</v>
      </c>
      <c r="D14" s="55" t="s">
        <v>25</v>
      </c>
      <c r="E14" s="77">
        <f>E44</f>
        <v>650</v>
      </c>
      <c r="F14" s="78">
        <f>F44</f>
        <v>250</v>
      </c>
      <c r="G14" s="24">
        <v>0</v>
      </c>
      <c r="H14" s="26" t="s">
        <v>26</v>
      </c>
      <c r="J14" s="37">
        <f>3*L14</f>
        <v>2700</v>
      </c>
      <c r="K14" s="28">
        <f>J14*1</f>
        <v>2700</v>
      </c>
      <c r="L14" s="76">
        <f>SUM(E14:G14)</f>
        <v>900</v>
      </c>
      <c r="N14" s="38"/>
      <c r="O14" s="28"/>
    </row>
    <row r="15" spans="2:15" ht="20.100000000000001" customHeight="1" x14ac:dyDescent="0.2">
      <c r="B15" s="13">
        <v>3</v>
      </c>
      <c r="C15" s="14" t="s">
        <v>27</v>
      </c>
      <c r="D15" s="19"/>
      <c r="E15" s="45"/>
      <c r="F15" s="45"/>
      <c r="G15" s="45"/>
      <c r="H15" s="44"/>
      <c r="J15" s="31"/>
      <c r="K15" s="30"/>
      <c r="N15" s="32"/>
      <c r="O15" s="33"/>
    </row>
    <row r="16" spans="2:15" ht="20.100000000000001" customHeight="1" x14ac:dyDescent="0.2">
      <c r="B16" s="34">
        <v>3.1</v>
      </c>
      <c r="C16" s="35" t="s">
        <v>28</v>
      </c>
      <c r="D16" s="24" t="s">
        <v>29</v>
      </c>
      <c r="E16" s="36">
        <v>0</v>
      </c>
      <c r="F16" s="24">
        <v>36</v>
      </c>
      <c r="G16" s="24">
        <f>156</f>
        <v>156</v>
      </c>
      <c r="H16" s="26">
        <f>SUM(E16:G16)</f>
        <v>192</v>
      </c>
      <c r="J16" s="37">
        <v>70</v>
      </c>
      <c r="K16" s="28">
        <f>J16*H16</f>
        <v>13440</v>
      </c>
      <c r="N16" s="38"/>
      <c r="O16" s="28"/>
    </row>
    <row r="17" spans="2:15" ht="20.100000000000001" customHeight="1" x14ac:dyDescent="0.2">
      <c r="B17" s="75">
        <v>3.1</v>
      </c>
      <c r="C17" s="35" t="s">
        <v>30</v>
      </c>
      <c r="D17" s="24" t="s">
        <v>29</v>
      </c>
      <c r="E17" s="36">
        <v>0</v>
      </c>
      <c r="F17" s="24">
        <v>0</v>
      </c>
      <c r="G17" s="24">
        <f>2*6</f>
        <v>12</v>
      </c>
      <c r="H17" s="26">
        <f>SUM(E17:G17)</f>
        <v>12</v>
      </c>
      <c r="J17" s="37">
        <v>125</v>
      </c>
      <c r="K17" s="28">
        <f>J17*H17</f>
        <v>1500</v>
      </c>
      <c r="N17" s="38"/>
      <c r="O17" s="28"/>
    </row>
    <row r="18" spans="2:15" ht="20.100000000000001" customHeight="1" x14ac:dyDescent="0.2">
      <c r="B18" s="13">
        <v>4</v>
      </c>
      <c r="C18" s="14" t="s">
        <v>31</v>
      </c>
      <c r="D18" s="19"/>
      <c r="E18" s="45"/>
      <c r="F18" s="45"/>
      <c r="G18" s="45"/>
      <c r="H18" s="44"/>
      <c r="J18" s="31"/>
      <c r="K18" s="30"/>
      <c r="N18" s="32"/>
      <c r="O18" s="33"/>
    </row>
    <row r="19" spans="2:15" ht="20.100000000000001" customHeight="1" x14ac:dyDescent="0.2">
      <c r="B19" s="34">
        <v>4.0999999999999996</v>
      </c>
      <c r="C19" s="35" t="s">
        <v>32</v>
      </c>
      <c r="D19" s="24" t="s">
        <v>29</v>
      </c>
      <c r="E19" s="36">
        <f>10</f>
        <v>10</v>
      </c>
      <c r="F19" s="24">
        <f>40</f>
        <v>40</v>
      </c>
      <c r="G19" s="24">
        <v>0</v>
      </c>
      <c r="H19" s="26">
        <f>SUM(E19:G19)</f>
        <v>50</v>
      </c>
      <c r="J19" s="31">
        <v>125</v>
      </c>
      <c r="K19" s="28">
        <f>J19*H19</f>
        <v>6250</v>
      </c>
      <c r="N19" s="32"/>
      <c r="O19" s="28"/>
    </row>
    <row r="20" spans="2:15" ht="20.100000000000001" customHeight="1" x14ac:dyDescent="0.2">
      <c r="B20" s="13">
        <v>5</v>
      </c>
      <c r="C20" s="14" t="s">
        <v>33</v>
      </c>
      <c r="D20" s="19"/>
      <c r="E20" s="45"/>
      <c r="F20" s="45"/>
      <c r="G20" s="45"/>
      <c r="H20" s="44"/>
      <c r="J20" s="31"/>
      <c r="K20" s="30"/>
      <c r="N20" s="32"/>
      <c r="O20" s="33"/>
    </row>
    <row r="21" spans="2:15" ht="20.100000000000001" customHeight="1" x14ac:dyDescent="0.2">
      <c r="B21" s="34">
        <v>5.0999999999999996</v>
      </c>
      <c r="C21" s="35" t="s">
        <v>34</v>
      </c>
      <c r="D21" s="24" t="s">
        <v>29</v>
      </c>
      <c r="E21" s="36">
        <f>2</f>
        <v>2</v>
      </c>
      <c r="F21" s="24">
        <v>0</v>
      </c>
      <c r="G21" s="24">
        <v>0</v>
      </c>
      <c r="H21" s="26">
        <f>SUM(E21:G21)</f>
        <v>2</v>
      </c>
      <c r="J21" s="31">
        <v>125</v>
      </c>
      <c r="K21" s="28">
        <f>J21*H21</f>
        <v>250</v>
      </c>
      <c r="N21" s="32"/>
      <c r="O21" s="28"/>
    </row>
    <row r="22" spans="2:15" ht="20.100000000000001" customHeight="1" x14ac:dyDescent="0.2">
      <c r="B22" s="16">
        <v>6</v>
      </c>
      <c r="C22" s="15" t="s">
        <v>35</v>
      </c>
      <c r="D22" s="45"/>
      <c r="E22" s="45"/>
      <c r="F22" s="45"/>
      <c r="G22" s="45"/>
      <c r="H22" s="44"/>
      <c r="J22" s="31"/>
      <c r="K22" s="30"/>
      <c r="N22" s="32"/>
      <c r="O22" s="30"/>
    </row>
    <row r="23" spans="2:15" ht="20.100000000000001" customHeight="1" x14ac:dyDescent="0.2">
      <c r="B23" s="43">
        <v>6.1</v>
      </c>
      <c r="C23" s="35" t="s">
        <v>36</v>
      </c>
      <c r="D23" s="24" t="s">
        <v>29</v>
      </c>
      <c r="E23" s="24">
        <v>0</v>
      </c>
      <c r="F23" s="24">
        <v>0</v>
      </c>
      <c r="G23" s="24">
        <f>2*32</f>
        <v>64</v>
      </c>
      <c r="H23" s="26">
        <f>SUM(E23:G23)</f>
        <v>64</v>
      </c>
      <c r="J23" s="31">
        <v>125</v>
      </c>
      <c r="K23" s="28">
        <f>J23*H23</f>
        <v>8000</v>
      </c>
      <c r="N23" s="38"/>
      <c r="O23" s="28"/>
    </row>
    <row r="24" spans="2:15" ht="20.100000000000001" customHeight="1" x14ac:dyDescent="0.2">
      <c r="B24" s="43">
        <v>6.6</v>
      </c>
      <c r="C24" s="35" t="s">
        <v>37</v>
      </c>
      <c r="D24" s="24" t="s">
        <v>29</v>
      </c>
      <c r="E24" s="24">
        <f>2</f>
        <v>2</v>
      </c>
      <c r="F24" s="24">
        <f>2+2+2</f>
        <v>6</v>
      </c>
      <c r="G24" s="24">
        <v>0</v>
      </c>
      <c r="H24" s="26">
        <f>SUM(E24:G24)</f>
        <v>8</v>
      </c>
      <c r="J24" s="31">
        <v>125</v>
      </c>
      <c r="K24" s="28">
        <f>J24*H24</f>
        <v>1000</v>
      </c>
      <c r="N24" s="38"/>
      <c r="O24" s="28"/>
    </row>
    <row r="25" spans="2:15" ht="20.100000000000001" customHeight="1" x14ac:dyDescent="0.2">
      <c r="B25" s="56">
        <v>7</v>
      </c>
      <c r="C25" s="57" t="s">
        <v>38</v>
      </c>
      <c r="D25" s="54"/>
      <c r="E25" s="45"/>
      <c r="F25" s="45"/>
      <c r="G25" s="45"/>
      <c r="H25" s="44"/>
      <c r="J25" s="31"/>
      <c r="K25" s="30"/>
      <c r="N25" s="32"/>
      <c r="O25" s="30"/>
    </row>
    <row r="26" spans="2:15" ht="20.100000000000001" customHeight="1" x14ac:dyDescent="0.2">
      <c r="B26" s="58">
        <v>7.1</v>
      </c>
      <c r="C26" s="1" t="s">
        <v>39</v>
      </c>
      <c r="D26" s="55" t="s">
        <v>29</v>
      </c>
      <c r="E26" s="24">
        <f>2+2</f>
        <v>4</v>
      </c>
      <c r="F26" s="24">
        <f>5</f>
        <v>5</v>
      </c>
      <c r="G26" s="24">
        <f>8</f>
        <v>8</v>
      </c>
      <c r="H26" s="26">
        <f>SUM(E26:G26)</f>
        <v>17</v>
      </c>
      <c r="J26" s="31">
        <v>125</v>
      </c>
      <c r="K26" s="28">
        <f>J26*H26</f>
        <v>2125</v>
      </c>
      <c r="N26" s="38"/>
      <c r="O26" s="28"/>
    </row>
    <row r="27" spans="2:15" ht="20.100000000000001" customHeight="1" x14ac:dyDescent="0.2">
      <c r="B27" s="58">
        <v>7.5</v>
      </c>
      <c r="C27" s="1" t="s">
        <v>91</v>
      </c>
      <c r="D27" s="55" t="s">
        <v>40</v>
      </c>
      <c r="E27" s="24">
        <v>0</v>
      </c>
      <c r="F27" s="24">
        <f>2</f>
        <v>2</v>
      </c>
      <c r="G27" s="24">
        <f>2*21*2</f>
        <v>84</v>
      </c>
      <c r="H27" s="26">
        <f>SUM(E27:G27)</f>
        <v>86</v>
      </c>
      <c r="J27" s="31">
        <v>75</v>
      </c>
      <c r="K27" s="28">
        <f>J27*H27</f>
        <v>6450</v>
      </c>
      <c r="N27" s="38"/>
      <c r="O27" s="28"/>
    </row>
    <row r="28" spans="2:15" ht="20.100000000000001" customHeight="1" x14ac:dyDescent="0.2">
      <c r="B28" s="13">
        <v>9</v>
      </c>
      <c r="C28" s="14" t="s">
        <v>41</v>
      </c>
      <c r="D28" s="19"/>
      <c r="E28" s="45"/>
      <c r="F28" s="45"/>
      <c r="G28" s="45"/>
      <c r="H28" s="44"/>
      <c r="J28" s="31"/>
      <c r="K28" s="30"/>
      <c r="N28" s="32"/>
      <c r="O28" s="33"/>
    </row>
    <row r="29" spans="2:15" ht="20.100000000000001" customHeight="1" x14ac:dyDescent="0.2">
      <c r="B29" s="22">
        <v>9.3000000000000007</v>
      </c>
      <c r="C29" s="35" t="s">
        <v>42</v>
      </c>
      <c r="D29" s="24" t="s">
        <v>43</v>
      </c>
      <c r="E29" s="36">
        <v>0</v>
      </c>
      <c r="F29" s="24">
        <f>50+9*3</f>
        <v>77</v>
      </c>
      <c r="G29" s="24">
        <f>50+5*3</f>
        <v>65</v>
      </c>
      <c r="H29" s="26">
        <f>SUM(E29:G29)</f>
        <v>142</v>
      </c>
      <c r="J29" s="31">
        <v>40</v>
      </c>
      <c r="K29" s="28">
        <f>J29*H29</f>
        <v>5680</v>
      </c>
      <c r="N29" s="32"/>
      <c r="O29" s="28"/>
    </row>
    <row r="30" spans="2:15" ht="20.100000000000001" customHeight="1" x14ac:dyDescent="0.2">
      <c r="B30" s="13">
        <v>10</v>
      </c>
      <c r="C30" s="14" t="s">
        <v>44</v>
      </c>
      <c r="D30" s="19"/>
      <c r="E30" s="45"/>
      <c r="F30" s="45"/>
      <c r="G30" s="45"/>
      <c r="H30" s="44"/>
      <c r="J30" s="31"/>
      <c r="K30" s="30"/>
      <c r="N30" s="32"/>
      <c r="O30" s="33"/>
    </row>
    <row r="31" spans="2:15" ht="20.100000000000001" customHeight="1" x14ac:dyDescent="0.2">
      <c r="B31" s="22">
        <v>10.3</v>
      </c>
      <c r="C31" s="35" t="s">
        <v>45</v>
      </c>
      <c r="D31" s="24" t="s">
        <v>43</v>
      </c>
      <c r="E31" s="36">
        <f>E29</f>
        <v>0</v>
      </c>
      <c r="F31" s="24">
        <f>F29</f>
        <v>77</v>
      </c>
      <c r="G31" s="24">
        <f>G29</f>
        <v>65</v>
      </c>
      <c r="H31" s="26">
        <f>SUM(E31:G31)</f>
        <v>142</v>
      </c>
      <c r="J31" s="31">
        <v>150</v>
      </c>
      <c r="K31" s="28">
        <f>J31*H31</f>
        <v>21300</v>
      </c>
      <c r="N31" s="32"/>
      <c r="O31" s="28"/>
    </row>
    <row r="32" spans="2:15" ht="20.100000000000001" customHeight="1" x14ac:dyDescent="0.2">
      <c r="B32" s="13">
        <v>11</v>
      </c>
      <c r="C32" s="14" t="s">
        <v>46</v>
      </c>
      <c r="D32" s="19"/>
      <c r="E32" s="45"/>
      <c r="F32" s="45"/>
      <c r="G32" s="45"/>
      <c r="H32" s="44"/>
      <c r="J32" s="31"/>
      <c r="K32" s="30"/>
      <c r="N32" s="32"/>
      <c r="O32" s="33"/>
    </row>
    <row r="33" spans="2:15" ht="20.100000000000001" customHeight="1" x14ac:dyDescent="0.2">
      <c r="B33" s="22">
        <v>11.1</v>
      </c>
      <c r="C33" s="23" t="s">
        <v>47</v>
      </c>
      <c r="D33" s="24" t="s">
        <v>43</v>
      </c>
      <c r="E33" s="36">
        <v>0</v>
      </c>
      <c r="F33" s="24">
        <v>150</v>
      </c>
      <c r="G33" s="24">
        <v>400</v>
      </c>
      <c r="H33" s="26">
        <f>SUM(E33:G33)</f>
        <v>550</v>
      </c>
      <c r="J33" s="31">
        <v>4</v>
      </c>
      <c r="K33" s="28">
        <f>J33*H33</f>
        <v>2200</v>
      </c>
      <c r="N33" s="32"/>
      <c r="O33" s="28"/>
    </row>
    <row r="34" spans="2:15" ht="20.100000000000001" customHeight="1" x14ac:dyDescent="0.2">
      <c r="B34" s="22">
        <v>11.2</v>
      </c>
      <c r="C34" s="23" t="s">
        <v>48</v>
      </c>
      <c r="D34" s="24" t="s">
        <v>49</v>
      </c>
      <c r="E34" s="36">
        <f>20*4</f>
        <v>80</v>
      </c>
      <c r="F34" s="24">
        <f>ROUND(20*4+15+150*2+50,-1)</f>
        <v>450</v>
      </c>
      <c r="G34" s="24">
        <f>ROUND(2005+3*67+3*22+3*70+3*22,-1)</f>
        <v>2550</v>
      </c>
      <c r="H34" s="26" t="s">
        <v>92</v>
      </c>
      <c r="J34" s="31">
        <f>4*L34</f>
        <v>12320</v>
      </c>
      <c r="K34" s="28">
        <f>J34*1</f>
        <v>12320</v>
      </c>
      <c r="L34" s="17">
        <f>SUM(E34:G34)</f>
        <v>3080</v>
      </c>
      <c r="N34" s="32"/>
      <c r="O34" s="28"/>
    </row>
    <row r="35" spans="2:15" ht="20.100000000000001" customHeight="1" x14ac:dyDescent="0.2">
      <c r="B35" s="22">
        <v>11.3</v>
      </c>
      <c r="C35" s="23" t="s">
        <v>50</v>
      </c>
      <c r="D35" s="24" t="s">
        <v>49</v>
      </c>
      <c r="E35" s="36">
        <f>4*5*4</f>
        <v>80</v>
      </c>
      <c r="F35" s="24">
        <f>ROUND(5*15*2+4*8*3+4*6,-1)</f>
        <v>270</v>
      </c>
      <c r="G35" s="24">
        <f>ROUND(3*2*24+3*21*2+3*6*2,-1)</f>
        <v>310</v>
      </c>
      <c r="H35" s="26" t="s">
        <v>93</v>
      </c>
      <c r="J35" s="31">
        <f t="shared" ref="J35" si="0">4*L35</f>
        <v>2640</v>
      </c>
      <c r="K35" s="28">
        <f t="shared" ref="K35:K38" si="1">J35*1</f>
        <v>2640</v>
      </c>
      <c r="L35" s="17">
        <f>SUM(E35:G35)</f>
        <v>660</v>
      </c>
      <c r="N35" s="38"/>
      <c r="O35" s="39"/>
    </row>
    <row r="36" spans="2:15" ht="20.100000000000001" customHeight="1" x14ac:dyDescent="0.2">
      <c r="B36" s="22">
        <v>11.4</v>
      </c>
      <c r="C36" s="23" t="s">
        <v>51</v>
      </c>
      <c r="D36" s="24" t="s">
        <v>49</v>
      </c>
      <c r="E36" s="36">
        <v>0</v>
      </c>
      <c r="F36" s="24">
        <f>ROUND(61*15,-1)</f>
        <v>920</v>
      </c>
      <c r="G36" s="24">
        <f>ROUND(56*34*2+61*19,-1)</f>
        <v>4970</v>
      </c>
      <c r="H36" s="26" t="s">
        <v>94</v>
      </c>
      <c r="J36" s="31">
        <f>4*L36</f>
        <v>23560</v>
      </c>
      <c r="K36" s="28">
        <f t="shared" si="1"/>
        <v>23560</v>
      </c>
      <c r="L36" s="17">
        <f>SUM(E36:G36)</f>
        <v>5890</v>
      </c>
      <c r="N36" s="32"/>
      <c r="O36" s="28"/>
    </row>
    <row r="37" spans="2:15" ht="20.100000000000001" customHeight="1" x14ac:dyDescent="0.2">
      <c r="B37" s="22">
        <v>11.5</v>
      </c>
      <c r="C37" s="23" t="s">
        <v>52</v>
      </c>
      <c r="D37" s="24" t="s">
        <v>43</v>
      </c>
      <c r="E37" s="36">
        <f>15</f>
        <v>15</v>
      </c>
      <c r="F37" s="24">
        <f>30</f>
        <v>30</v>
      </c>
      <c r="G37" s="24">
        <v>0</v>
      </c>
      <c r="H37" s="26">
        <f>SUM(E37:G37)</f>
        <v>45</v>
      </c>
      <c r="J37" s="31">
        <v>60</v>
      </c>
      <c r="K37" s="28">
        <f>J37*H37</f>
        <v>2700</v>
      </c>
      <c r="N37" s="38"/>
      <c r="O37" s="39"/>
    </row>
    <row r="38" spans="2:15" ht="20.100000000000001" customHeight="1" x14ac:dyDescent="0.2">
      <c r="B38" s="22">
        <v>11.7</v>
      </c>
      <c r="C38" s="23" t="s">
        <v>53</v>
      </c>
      <c r="D38" s="24" t="s">
        <v>49</v>
      </c>
      <c r="E38" s="36">
        <f>40*3+20*4</f>
        <v>200</v>
      </c>
      <c r="F38" s="24">
        <f>ROUND(150+150+70*3+50+16+8*4,-1)</f>
        <v>610</v>
      </c>
      <c r="G38" s="24">
        <f>ROUND(1570+4*24+8*2+24+24*4+60*3,-1)</f>
        <v>1980</v>
      </c>
      <c r="H38" s="26" t="s">
        <v>54</v>
      </c>
      <c r="J38" s="31">
        <f>4*L38</f>
        <v>11160</v>
      </c>
      <c r="K38" s="28">
        <f t="shared" si="1"/>
        <v>11160</v>
      </c>
      <c r="L38" s="17">
        <f>SUM(E38:G38)</f>
        <v>2790</v>
      </c>
      <c r="N38" s="38"/>
      <c r="O38" s="39"/>
    </row>
    <row r="39" spans="2:15" ht="20.100000000000001" customHeight="1" x14ac:dyDescent="0.2">
      <c r="B39" s="22">
        <v>11.9</v>
      </c>
      <c r="C39" s="23" t="s">
        <v>55</v>
      </c>
      <c r="D39" s="24" t="s">
        <v>43</v>
      </c>
      <c r="E39" s="36">
        <v>0</v>
      </c>
      <c r="F39" s="24">
        <v>0</v>
      </c>
      <c r="G39" s="24">
        <v>10</v>
      </c>
      <c r="H39" s="26">
        <f>SUM(E39:G39)</f>
        <v>10</v>
      </c>
      <c r="J39" s="31">
        <v>10</v>
      </c>
      <c r="K39" s="28">
        <f>J39*H39</f>
        <v>100</v>
      </c>
      <c r="N39" s="38"/>
      <c r="O39" s="39"/>
    </row>
    <row r="40" spans="2:15" ht="20.100000000000001" customHeight="1" x14ac:dyDescent="0.2">
      <c r="B40" s="50">
        <v>15</v>
      </c>
      <c r="C40" s="51" t="s">
        <v>56</v>
      </c>
      <c r="D40" s="45"/>
      <c r="E40" s="45"/>
      <c r="F40" s="45"/>
      <c r="G40" s="45"/>
      <c r="H40" s="44"/>
      <c r="I40" s="40"/>
      <c r="J40" s="31"/>
      <c r="K40" s="30"/>
      <c r="M40" s="40"/>
      <c r="N40" s="32"/>
      <c r="O40" s="33"/>
    </row>
    <row r="41" spans="2:15" ht="20.100000000000001" customHeight="1" x14ac:dyDescent="0.2">
      <c r="B41" s="52">
        <v>15.1</v>
      </c>
      <c r="C41" s="53" t="s">
        <v>57</v>
      </c>
      <c r="D41" s="55" t="s">
        <v>25</v>
      </c>
      <c r="E41" s="24">
        <v>0</v>
      </c>
      <c r="F41" s="24">
        <f>8030</f>
        <v>8030</v>
      </c>
      <c r="G41" s="24">
        <f>49000-G43</f>
        <v>42300</v>
      </c>
      <c r="H41" s="26" t="s">
        <v>58</v>
      </c>
      <c r="J41" s="37">
        <f>0.6*L41</f>
        <v>30198</v>
      </c>
      <c r="K41" s="28">
        <f>1*J41</f>
        <v>30198</v>
      </c>
      <c r="L41" s="17">
        <f>SUM(E41:G41)</f>
        <v>50330</v>
      </c>
      <c r="N41" s="38"/>
      <c r="O41" s="28"/>
    </row>
    <row r="42" spans="2:15" ht="20.100000000000001" customHeight="1" x14ac:dyDescent="0.2">
      <c r="B42" s="50">
        <v>16</v>
      </c>
      <c r="C42" s="51" t="s">
        <v>59</v>
      </c>
      <c r="D42" s="54"/>
      <c r="E42" s="45"/>
      <c r="F42" s="45"/>
      <c r="G42" s="45"/>
      <c r="H42" s="44"/>
      <c r="I42" s="40"/>
      <c r="J42" s="31"/>
      <c r="K42" s="30"/>
      <c r="M42" s="40"/>
      <c r="N42" s="32"/>
      <c r="O42" s="33"/>
    </row>
    <row r="43" spans="2:15" ht="20.100000000000001" customHeight="1" x14ac:dyDescent="0.2">
      <c r="B43" s="52">
        <v>16.100000000000001</v>
      </c>
      <c r="C43" s="53" t="s">
        <v>60</v>
      </c>
      <c r="D43" s="55" t="s">
        <v>25</v>
      </c>
      <c r="E43" s="24">
        <v>0</v>
      </c>
      <c r="F43" s="24">
        <f>510+510</f>
        <v>1020</v>
      </c>
      <c r="G43" s="24">
        <v>6700</v>
      </c>
      <c r="H43" s="26" t="s">
        <v>61</v>
      </c>
      <c r="J43" s="37">
        <f>5*L43</f>
        <v>38600</v>
      </c>
      <c r="K43" s="28">
        <f>J43*1</f>
        <v>38600</v>
      </c>
      <c r="L43" s="17">
        <f>SUM(F43:G43)</f>
        <v>7720</v>
      </c>
      <c r="N43" s="38"/>
      <c r="O43" s="28"/>
    </row>
    <row r="44" spans="2:15" ht="20.100000000000001" customHeight="1" x14ac:dyDescent="0.2">
      <c r="B44" s="52">
        <v>16.2</v>
      </c>
      <c r="C44" s="53" t="s">
        <v>62</v>
      </c>
      <c r="D44" s="55" t="s">
        <v>25</v>
      </c>
      <c r="E44" s="78">
        <v>650</v>
      </c>
      <c r="F44" s="78">
        <v>250</v>
      </c>
      <c r="G44" s="24">
        <v>0</v>
      </c>
      <c r="H44" s="26" t="s">
        <v>26</v>
      </c>
      <c r="J44" s="37">
        <f>5*L44</f>
        <v>4500</v>
      </c>
      <c r="K44" s="28">
        <f>J44*1</f>
        <v>4500</v>
      </c>
      <c r="L44" s="76">
        <f>SUM(E44:G44)</f>
        <v>900</v>
      </c>
      <c r="N44" s="38"/>
      <c r="O44" s="28"/>
    </row>
    <row r="45" spans="2:15" ht="20.100000000000001" customHeight="1" x14ac:dyDescent="0.2">
      <c r="B45" s="50">
        <v>18</v>
      </c>
      <c r="C45" s="51" t="s">
        <v>63</v>
      </c>
      <c r="D45" s="45"/>
      <c r="E45" s="45"/>
      <c r="F45" s="45"/>
      <c r="G45" s="45"/>
      <c r="H45" s="44"/>
      <c r="I45" s="40"/>
      <c r="J45" s="31"/>
      <c r="K45" s="30"/>
      <c r="M45" s="40"/>
      <c r="N45" s="32"/>
      <c r="O45" s="33"/>
    </row>
    <row r="46" spans="2:15" ht="20.100000000000001" customHeight="1" x14ac:dyDescent="0.2">
      <c r="B46" s="52">
        <v>18.100000000000001</v>
      </c>
      <c r="C46" s="53" t="s">
        <v>64</v>
      </c>
      <c r="D46" s="55" t="s">
        <v>25</v>
      </c>
      <c r="E46" s="24">
        <v>0</v>
      </c>
      <c r="F46" s="24">
        <v>0</v>
      </c>
      <c r="G46" s="24">
        <f>((4*2)+(4*1*2)+(2*1))*32</f>
        <v>576</v>
      </c>
      <c r="H46" s="26" t="s">
        <v>65</v>
      </c>
      <c r="J46" s="37">
        <v>35</v>
      </c>
      <c r="K46" s="28">
        <f>J46*L46</f>
        <v>20160</v>
      </c>
      <c r="L46" s="17">
        <f>SUM(E46:G46)</f>
        <v>576</v>
      </c>
      <c r="N46" s="38"/>
      <c r="O46" s="28"/>
    </row>
    <row r="47" spans="2:15" ht="19.899999999999999" customHeight="1" x14ac:dyDescent="0.2">
      <c r="B47" s="50">
        <v>25</v>
      </c>
      <c r="C47" s="51" t="s">
        <v>66</v>
      </c>
      <c r="D47" s="54"/>
      <c r="E47" s="45"/>
      <c r="F47" s="45"/>
      <c r="G47" s="45"/>
      <c r="H47" s="44"/>
      <c r="I47" s="40"/>
      <c r="J47" s="31"/>
      <c r="K47" s="30"/>
      <c r="M47" s="40"/>
      <c r="N47" s="32"/>
      <c r="O47" s="33"/>
    </row>
    <row r="48" spans="2:15" ht="20.100000000000001" customHeight="1" x14ac:dyDescent="0.2">
      <c r="B48" s="59">
        <v>25.6</v>
      </c>
      <c r="C48" s="1" t="s">
        <v>67</v>
      </c>
      <c r="D48" s="55" t="s">
        <v>15</v>
      </c>
      <c r="E48" s="24" t="s">
        <v>16</v>
      </c>
      <c r="F48" s="24" t="s">
        <v>16</v>
      </c>
      <c r="G48" s="24" t="s">
        <v>16</v>
      </c>
      <c r="H48" s="26">
        <v>1</v>
      </c>
      <c r="J48" s="37">
        <v>5000</v>
      </c>
      <c r="K48" s="28">
        <f>J48*H48</f>
        <v>5000</v>
      </c>
      <c r="N48" s="38"/>
      <c r="O48" s="28"/>
    </row>
    <row r="49" spans="2:17" ht="19.899999999999999" customHeight="1" x14ac:dyDescent="0.2">
      <c r="B49" s="50">
        <v>35</v>
      </c>
      <c r="C49" s="51" t="s">
        <v>68</v>
      </c>
      <c r="D49" s="54"/>
      <c r="E49" s="45"/>
      <c r="F49" s="45"/>
      <c r="G49" s="45"/>
      <c r="H49" s="44"/>
      <c r="I49" s="40"/>
      <c r="J49" s="31"/>
      <c r="K49" s="30"/>
      <c r="M49" s="40"/>
      <c r="N49" s="32"/>
      <c r="O49" s="33"/>
    </row>
    <row r="50" spans="2:17" ht="20.100000000000001" customHeight="1" x14ac:dyDescent="0.2">
      <c r="B50" s="59">
        <v>35.200000000000003</v>
      </c>
      <c r="C50" s="1" t="s">
        <v>69</v>
      </c>
      <c r="D50" s="55" t="s">
        <v>43</v>
      </c>
      <c r="E50" s="24">
        <f>32</f>
        <v>32</v>
      </c>
      <c r="F50" s="24">
        <v>0</v>
      </c>
      <c r="G50" s="24">
        <v>0</v>
      </c>
      <c r="H50" s="26">
        <f>SUM(E50:G50)</f>
        <v>32</v>
      </c>
      <c r="J50" s="37">
        <v>250</v>
      </c>
      <c r="K50" s="28">
        <f>H50*J50</f>
        <v>8000</v>
      </c>
      <c r="N50" s="38"/>
      <c r="O50" s="28"/>
    </row>
    <row r="51" spans="2:17" ht="34.5" hidden="1" thickTop="1" thickBot="1" x14ac:dyDescent="0.5">
      <c r="B51" s="2" t="s">
        <v>3</v>
      </c>
      <c r="C51" s="3"/>
      <c r="D51" s="3"/>
      <c r="E51" s="3"/>
      <c r="F51" s="3"/>
      <c r="G51" s="3"/>
      <c r="H51" s="4"/>
      <c r="I51" s="3"/>
      <c r="J51" s="3"/>
      <c r="K51" s="4"/>
      <c r="L51" s="3"/>
      <c r="M51" s="3"/>
      <c r="N51" s="3"/>
      <c r="O51" s="4"/>
    </row>
    <row r="52" spans="2:17" ht="20.100000000000001" hidden="1" customHeight="1" thickTop="1" x14ac:dyDescent="0.2">
      <c r="B52" s="5" t="s">
        <v>4</v>
      </c>
      <c r="C52" s="6" t="s">
        <v>5</v>
      </c>
      <c r="D52" s="7" t="s">
        <v>6</v>
      </c>
      <c r="E52" s="8" t="s">
        <v>7</v>
      </c>
      <c r="F52" s="8" t="s">
        <v>8</v>
      </c>
      <c r="G52" s="8" t="s">
        <v>9</v>
      </c>
      <c r="H52" s="9" t="s">
        <v>10</v>
      </c>
      <c r="J52" s="10" t="s">
        <v>11</v>
      </c>
      <c r="K52" s="11" t="s">
        <v>12</v>
      </c>
      <c r="N52" s="10" t="s">
        <v>11</v>
      </c>
      <c r="O52" s="11" t="s">
        <v>12</v>
      </c>
    </row>
    <row r="53" spans="2:17" ht="19.899999999999999" customHeight="1" x14ac:dyDescent="0.2">
      <c r="B53" s="50">
        <v>37</v>
      </c>
      <c r="C53" s="51" t="s">
        <v>68</v>
      </c>
      <c r="D53" s="54"/>
      <c r="E53" s="45"/>
      <c r="F53" s="45"/>
      <c r="G53" s="45"/>
      <c r="H53" s="44"/>
      <c r="I53" s="40"/>
      <c r="J53" s="31"/>
      <c r="K53" s="30"/>
      <c r="M53" s="40"/>
      <c r="N53" s="32"/>
      <c r="O53" s="33"/>
    </row>
    <row r="54" spans="2:17" ht="20.100000000000001" customHeight="1" x14ac:dyDescent="0.2">
      <c r="B54" s="59">
        <v>37.6</v>
      </c>
      <c r="C54" s="1" t="s">
        <v>70</v>
      </c>
      <c r="D54" s="55" t="s">
        <v>40</v>
      </c>
      <c r="E54" s="24">
        <f>3+3+4</f>
        <v>10</v>
      </c>
      <c r="F54" s="78">
        <f>(7+24+8+6)/2</f>
        <v>22.5</v>
      </c>
      <c r="G54" s="78">
        <f>(7+24+8+6)/2</f>
        <v>22.5</v>
      </c>
      <c r="H54" s="26">
        <f>SUM(E54:G54)</f>
        <v>55</v>
      </c>
      <c r="J54" s="37">
        <v>250</v>
      </c>
      <c r="K54" s="28">
        <f>H54*J54</f>
        <v>13750</v>
      </c>
      <c r="N54" s="38"/>
      <c r="O54" s="28"/>
    </row>
    <row r="55" spans="2:17" ht="19.899999999999999" customHeight="1" x14ac:dyDescent="0.2">
      <c r="B55" s="13">
        <v>43</v>
      </c>
      <c r="C55" s="14" t="s">
        <v>71</v>
      </c>
      <c r="D55" s="45"/>
      <c r="E55" s="45"/>
      <c r="F55" s="45"/>
      <c r="G55" s="45"/>
      <c r="H55" s="44"/>
      <c r="J55" s="31"/>
      <c r="K55" s="30"/>
      <c r="N55" s="32"/>
      <c r="O55" s="33"/>
    </row>
    <row r="56" spans="2:17" ht="20.100000000000001" customHeight="1" x14ac:dyDescent="0.2">
      <c r="B56" s="22">
        <v>43.1</v>
      </c>
      <c r="C56" s="41" t="s">
        <v>72</v>
      </c>
      <c r="D56" s="24" t="s">
        <v>15</v>
      </c>
      <c r="E56" s="36" t="s">
        <v>16</v>
      </c>
      <c r="F56" s="36" t="s">
        <v>16</v>
      </c>
      <c r="G56" s="36" t="s">
        <v>16</v>
      </c>
      <c r="H56" s="26">
        <v>1</v>
      </c>
      <c r="I56" s="40"/>
      <c r="J56" s="37">
        <v>10000</v>
      </c>
      <c r="K56" s="28">
        <f>J56*H56</f>
        <v>10000</v>
      </c>
      <c r="M56" s="40"/>
      <c r="N56" s="38"/>
      <c r="O56" s="28"/>
    </row>
    <row r="57" spans="2:17" ht="20.100000000000001" customHeight="1" x14ac:dyDescent="0.2">
      <c r="B57" s="13">
        <v>45</v>
      </c>
      <c r="C57" s="51" t="s">
        <v>73</v>
      </c>
      <c r="D57" s="45"/>
      <c r="E57" s="45"/>
      <c r="F57" s="45"/>
      <c r="G57" s="45"/>
      <c r="H57" s="44"/>
      <c r="I57" s="64"/>
      <c r="J57" s="31"/>
      <c r="K57" s="30"/>
      <c r="L57" s="66"/>
      <c r="M57" s="40"/>
      <c r="N57" s="32"/>
      <c r="O57" s="33"/>
    </row>
    <row r="58" spans="2:17" ht="19.899999999999999" customHeight="1" x14ac:dyDescent="0.2">
      <c r="B58" s="52">
        <v>45.1</v>
      </c>
      <c r="C58" s="60" t="s">
        <v>74</v>
      </c>
      <c r="D58" s="55" t="s">
        <v>25</v>
      </c>
      <c r="E58" s="36">
        <v>0</v>
      </c>
      <c r="F58" s="36">
        <f>F41+F43</f>
        <v>9050</v>
      </c>
      <c r="G58" s="36">
        <f>G41+G43</f>
        <v>49000</v>
      </c>
      <c r="H58" s="26" t="s">
        <v>75</v>
      </c>
      <c r="I58" s="64"/>
      <c r="J58" s="37">
        <f>0.15*L58</f>
        <v>8707.5</v>
      </c>
      <c r="K58" s="28">
        <f>J58*1</f>
        <v>8707.5</v>
      </c>
      <c r="L58" s="66">
        <f>SUM(E58:G58)</f>
        <v>58050</v>
      </c>
      <c r="M58" s="40"/>
      <c r="N58" s="38"/>
      <c r="O58" s="28"/>
    </row>
    <row r="59" spans="2:17" ht="20.100000000000001" customHeight="1" x14ac:dyDescent="0.2">
      <c r="B59" s="22">
        <v>45.8</v>
      </c>
      <c r="C59" s="41" t="s">
        <v>76</v>
      </c>
      <c r="D59" s="24" t="s">
        <v>40</v>
      </c>
      <c r="E59" s="36">
        <v>0</v>
      </c>
      <c r="F59" s="36">
        <v>0</v>
      </c>
      <c r="G59" s="36">
        <v>6</v>
      </c>
      <c r="H59" s="26">
        <f>SUM(E59:G59)</f>
        <v>6</v>
      </c>
      <c r="I59" s="40"/>
      <c r="J59" s="37">
        <v>150</v>
      </c>
      <c r="K59" s="28">
        <f>J59*H59</f>
        <v>900</v>
      </c>
      <c r="M59" s="40"/>
      <c r="N59" s="38"/>
      <c r="O59" s="28"/>
    </row>
    <row r="60" spans="2:17" ht="20.100000000000001" customHeight="1" x14ac:dyDescent="0.2">
      <c r="B60" s="50">
        <v>95</v>
      </c>
      <c r="C60" s="51" t="s">
        <v>77</v>
      </c>
      <c r="D60" s="54"/>
      <c r="E60" s="45"/>
      <c r="F60" s="45"/>
      <c r="G60" s="45"/>
      <c r="H60" s="44"/>
      <c r="I60" s="64"/>
      <c r="J60" s="31"/>
      <c r="K60" s="30"/>
      <c r="L60" s="66"/>
      <c r="M60" s="40"/>
      <c r="N60" s="73"/>
      <c r="O60" s="74"/>
    </row>
    <row r="61" spans="2:17" ht="19.899999999999999" customHeight="1" x14ac:dyDescent="0.2">
      <c r="B61" s="52">
        <v>95.1</v>
      </c>
      <c r="C61" s="60" t="s">
        <v>78</v>
      </c>
      <c r="D61" s="55" t="s">
        <v>43</v>
      </c>
      <c r="E61" s="36">
        <v>0</v>
      </c>
      <c r="F61" s="36">
        <v>0</v>
      </c>
      <c r="G61" s="36">
        <f>8+8+8</f>
        <v>24</v>
      </c>
      <c r="H61" s="26">
        <f>SUM(G61)</f>
        <v>24</v>
      </c>
      <c r="I61" s="64"/>
      <c r="J61" s="79">
        <v>15</v>
      </c>
      <c r="K61" s="28">
        <f>J61*H61</f>
        <v>360</v>
      </c>
      <c r="L61" s="66"/>
      <c r="M61" s="40"/>
      <c r="N61" s="38"/>
      <c r="O61" s="28"/>
    </row>
    <row r="62" spans="2:17" customFormat="1" ht="20.100000000000001" customHeight="1" thickBot="1" x14ac:dyDescent="0.3">
      <c r="B62" s="61">
        <v>95.2</v>
      </c>
      <c r="C62" s="62" t="s">
        <v>79</v>
      </c>
      <c r="D62" s="63" t="s">
        <v>43</v>
      </c>
      <c r="E62" s="46">
        <v>0</v>
      </c>
      <c r="F62" s="46">
        <v>0</v>
      </c>
      <c r="G62" s="46">
        <f>4*20+2*20</f>
        <v>120</v>
      </c>
      <c r="H62" s="47">
        <f>SUM(G62)</f>
        <v>120</v>
      </c>
      <c r="I62" s="65"/>
      <c r="J62" s="80">
        <v>25</v>
      </c>
      <c r="K62" s="48">
        <f>J62*H62</f>
        <v>3000</v>
      </c>
      <c r="L62" s="67"/>
      <c r="M62" s="40"/>
      <c r="N62" s="49"/>
      <c r="O62" s="48"/>
      <c r="P62" s="70"/>
      <c r="Q62" s="71"/>
    </row>
    <row r="63" spans="2:17" customFormat="1" ht="20.100000000000001" customHeight="1" thickTop="1" thickBot="1" x14ac:dyDescent="0.3">
      <c r="B63" s="86"/>
      <c r="C63" s="87"/>
      <c r="D63" s="85"/>
      <c r="E63" s="88"/>
      <c r="F63" s="88"/>
      <c r="G63" s="88"/>
      <c r="H63" s="89" t="s">
        <v>80</v>
      </c>
      <c r="I63" s="64"/>
      <c r="J63" s="90"/>
      <c r="K63" s="91"/>
      <c r="L63" s="66"/>
      <c r="M63" s="40"/>
      <c r="N63" s="92"/>
      <c r="O63" s="93"/>
      <c r="P63" s="70"/>
      <c r="Q63" s="71"/>
    </row>
    <row r="64" spans="2:17" ht="20.100000000000001" customHeight="1" thickTop="1" x14ac:dyDescent="0.25">
      <c r="B64" s="110" t="s">
        <v>81</v>
      </c>
      <c r="C64" s="111"/>
      <c r="D64" s="111"/>
      <c r="E64" s="111"/>
      <c r="F64" s="111"/>
      <c r="G64" s="111"/>
      <c r="H64" s="111"/>
      <c r="I64" s="94"/>
      <c r="J64" s="94"/>
      <c r="K64" s="95"/>
      <c r="L64" s="96"/>
      <c r="M64" s="97"/>
      <c r="N64" s="97"/>
      <c r="O64" s="68"/>
    </row>
    <row r="65" spans="2:15" ht="20.100000000000001" customHeight="1" thickBot="1" x14ac:dyDescent="0.3">
      <c r="B65" s="112"/>
      <c r="C65" s="113"/>
      <c r="D65" s="113"/>
      <c r="E65" s="113"/>
      <c r="F65" s="113"/>
      <c r="G65" s="113"/>
      <c r="H65" s="113"/>
      <c r="I65" s="98"/>
      <c r="J65" s="98"/>
      <c r="K65" s="99"/>
      <c r="L65" s="100"/>
      <c r="M65" s="72"/>
      <c r="N65" s="72"/>
      <c r="O65" s="69"/>
    </row>
    <row r="66" spans="2:15" ht="20.100000000000001" hidden="1" customHeight="1" thickTop="1" x14ac:dyDescent="0.2">
      <c r="B66" s="17" t="s">
        <v>82</v>
      </c>
    </row>
    <row r="67" spans="2:15" hidden="1" x14ac:dyDescent="0.2">
      <c r="B67" s="17" t="s">
        <v>83</v>
      </c>
      <c r="K67" s="42">
        <f>SUM(K12:K62)</f>
        <v>316550.5</v>
      </c>
    </row>
    <row r="68" spans="2:15" ht="20.100000000000001" customHeight="1" thickTop="1" x14ac:dyDescent="0.2">
      <c r="I68" s="17" t="s">
        <v>84</v>
      </c>
      <c r="K68" s="42">
        <f>SUM(K12:K62,K8)</f>
        <v>348205.55</v>
      </c>
    </row>
    <row r="69" spans="2:15" ht="20.100000000000001" customHeight="1" x14ac:dyDescent="0.2"/>
    <row r="70" spans="2:15" ht="19.5" customHeight="1" x14ac:dyDescent="0.2">
      <c r="K70" s="42"/>
    </row>
    <row r="71" spans="2:15" ht="34.5" customHeight="1" x14ac:dyDescent="0.2">
      <c r="K71" s="42"/>
    </row>
    <row r="72" spans="2:15" x14ac:dyDescent="0.2">
      <c r="K72" s="42"/>
    </row>
    <row r="73" spans="2:15" ht="20.100000000000001" customHeight="1" x14ac:dyDescent="0.2"/>
    <row r="74" spans="2:15" ht="20.100000000000001" customHeight="1" x14ac:dyDescent="0.2"/>
    <row r="75" spans="2:15" ht="20.100000000000001" customHeight="1" x14ac:dyDescent="0.2"/>
    <row r="76" spans="2:15" ht="20.100000000000001" customHeight="1" x14ac:dyDescent="0.2"/>
    <row r="77" spans="2:15" ht="20.100000000000001" customHeight="1" x14ac:dyDescent="0.2"/>
  </sheetData>
  <mergeCells count="15">
    <mergeCell ref="B64:H65"/>
    <mergeCell ref="N10:O10"/>
    <mergeCell ref="D11:H11"/>
    <mergeCell ref="J11:K11"/>
    <mergeCell ref="N11:O11"/>
    <mergeCell ref="N9:O9"/>
    <mergeCell ref="D10:H10"/>
    <mergeCell ref="J10:K10"/>
    <mergeCell ref="B1:F1"/>
    <mergeCell ref="B2:C2"/>
    <mergeCell ref="B3:C3"/>
    <mergeCell ref="D9:H9"/>
    <mergeCell ref="J9:K9"/>
    <mergeCell ref="B4:O4"/>
    <mergeCell ref="B5:O5"/>
  </mergeCells>
  <printOptions horizontalCentered="1"/>
  <pageMargins left="0.25" right="0.25" top="0.75" bottom="0.75" header="0.3" footer="0.3"/>
  <pageSetup scale="58" orientation="portrait" r:id="rId1"/>
  <headerFooter scaleWithDoc="0" alignWithMargins="0">
    <oddHeader>&amp;C&amp;12ATTACHMENT A
ITB23KO-103</oddHeader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DF5E-C460-40FC-A1AA-0C83014A8A47}">
  <sheetPr>
    <pageSetUpPr fitToPage="1"/>
  </sheetPr>
  <dimension ref="B1:S65"/>
  <sheetViews>
    <sheetView showGridLines="0" topLeftCell="A4" zoomScale="80" zoomScaleNormal="80" workbookViewId="0">
      <selection activeCell="A4" sqref="A4"/>
    </sheetView>
  </sheetViews>
  <sheetFormatPr defaultColWidth="9.140625" defaultRowHeight="12.75" x14ac:dyDescent="0.2"/>
  <cols>
    <col min="1" max="1" width="9.140625" style="17"/>
    <col min="2" max="2" width="14.42578125" style="17" customWidth="1"/>
    <col min="3" max="3" width="60.42578125" style="17" bestFit="1" customWidth="1"/>
    <col min="4" max="4" width="10.85546875" style="18" customWidth="1"/>
    <col min="5" max="5" width="10.140625" style="18" hidden="1" customWidth="1"/>
    <col min="6" max="9" width="8.85546875" style="18" hidden="1" customWidth="1"/>
    <col min="10" max="10" width="18.85546875" style="17" bestFit="1" customWidth="1"/>
    <col min="11" max="11" width="9.140625" style="17" hidden="1" customWidth="1"/>
    <col min="12" max="12" width="20.7109375" style="17" hidden="1" customWidth="1"/>
    <col min="13" max="13" width="15.5703125" style="17" hidden="1" customWidth="1"/>
    <col min="14" max="14" width="22.140625" style="17" hidden="1" customWidth="1"/>
    <col min="15" max="15" width="5.5703125" style="17" customWidth="1"/>
    <col min="16" max="17" width="15.7109375" style="17" customWidth="1"/>
    <col min="18" max="18" width="10.140625" style="17" customWidth="1"/>
    <col min="19" max="19" width="9.140625" style="17" customWidth="1"/>
    <col min="20" max="21" width="9.140625" style="17"/>
    <col min="22" max="22" width="5.42578125" style="17" customWidth="1"/>
    <col min="23" max="23" width="6.28515625" style="17" customWidth="1"/>
    <col min="24" max="24" width="4.7109375" style="17" customWidth="1"/>
    <col min="25" max="16384" width="9.140625" style="17"/>
  </cols>
  <sheetData>
    <row r="1" spans="2:17" ht="20.25" hidden="1" x14ac:dyDescent="0.3">
      <c r="B1" s="107" t="s">
        <v>0</v>
      </c>
      <c r="C1" s="107"/>
      <c r="D1" s="107"/>
      <c r="E1" s="107"/>
      <c r="F1" s="107"/>
      <c r="G1" s="107"/>
    </row>
    <row r="2" spans="2:17" ht="20.25" hidden="1" x14ac:dyDescent="0.3">
      <c r="B2" s="107" t="s">
        <v>1</v>
      </c>
      <c r="C2" s="107"/>
    </row>
    <row r="3" spans="2:17" ht="20.25" hidden="1" x14ac:dyDescent="0.3">
      <c r="B3" s="107" t="s">
        <v>2</v>
      </c>
      <c r="C3" s="107"/>
    </row>
    <row r="4" spans="2:17" ht="34.5" thickTop="1" thickBot="1" x14ac:dyDescent="0.5">
      <c r="B4" s="114" t="s">
        <v>111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2:17" ht="34.5" thickTop="1" thickBot="1" x14ac:dyDescent="0.5">
      <c r="B5" s="114" t="s">
        <v>110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6"/>
    </row>
    <row r="6" spans="2:17" ht="26.25" thickTop="1" x14ac:dyDescent="0.2">
      <c r="B6" s="5" t="s">
        <v>4</v>
      </c>
      <c r="C6" s="6" t="s">
        <v>5</v>
      </c>
      <c r="D6" s="7" t="s">
        <v>6</v>
      </c>
      <c r="E6" s="8" t="s">
        <v>7</v>
      </c>
      <c r="F6" s="8" t="s">
        <v>8</v>
      </c>
      <c r="G6" s="8" t="s">
        <v>85</v>
      </c>
      <c r="H6" s="8" t="s">
        <v>86</v>
      </c>
      <c r="I6" s="8" t="s">
        <v>9</v>
      </c>
      <c r="J6" s="9" t="s">
        <v>10</v>
      </c>
      <c r="L6" s="10" t="s">
        <v>11</v>
      </c>
      <c r="M6" s="11" t="s">
        <v>12</v>
      </c>
      <c r="P6" s="10" t="s">
        <v>11</v>
      </c>
      <c r="Q6" s="11" t="s">
        <v>12</v>
      </c>
    </row>
    <row r="7" spans="2:17" ht="20.100000000000001" customHeight="1" x14ac:dyDescent="0.2">
      <c r="B7" s="13">
        <v>1</v>
      </c>
      <c r="C7" s="12" t="s">
        <v>13</v>
      </c>
      <c r="D7" s="19"/>
      <c r="E7" s="19"/>
      <c r="F7" s="19"/>
      <c r="G7" s="19"/>
      <c r="H7" s="19"/>
      <c r="I7" s="19"/>
      <c r="J7" s="20"/>
      <c r="L7" s="21"/>
      <c r="M7" s="20"/>
      <c r="P7" s="21"/>
      <c r="Q7" s="20"/>
    </row>
    <row r="8" spans="2:17" ht="20.100000000000001" customHeight="1" x14ac:dyDescent="0.2">
      <c r="B8" s="22">
        <v>1.1000000000000001</v>
      </c>
      <c r="C8" s="23" t="s">
        <v>14</v>
      </c>
      <c r="D8" s="24" t="s">
        <v>15</v>
      </c>
      <c r="E8" s="25" t="s">
        <v>16</v>
      </c>
      <c r="F8" s="25" t="s">
        <v>16</v>
      </c>
      <c r="G8" s="25" t="s">
        <v>16</v>
      </c>
      <c r="H8" s="25" t="s">
        <v>16</v>
      </c>
      <c r="I8" s="25" t="s">
        <v>16</v>
      </c>
      <c r="J8" s="26">
        <v>1</v>
      </c>
      <c r="L8" s="27">
        <f>M53*0.1</f>
        <v>42673.3</v>
      </c>
      <c r="M8" s="28">
        <f>L8*J8</f>
        <v>42673.3</v>
      </c>
      <c r="P8" s="21"/>
      <c r="Q8" s="28"/>
    </row>
    <row r="9" spans="2:17" ht="20.100000000000001" customHeight="1" x14ac:dyDescent="0.2">
      <c r="B9" s="22">
        <v>1.3</v>
      </c>
      <c r="C9" s="23" t="s">
        <v>17</v>
      </c>
      <c r="D9" s="108" t="s">
        <v>18</v>
      </c>
      <c r="E9" s="109"/>
      <c r="F9" s="109"/>
      <c r="G9" s="109"/>
      <c r="H9" s="109"/>
      <c r="I9" s="109"/>
      <c r="J9" s="106"/>
      <c r="L9" s="105" t="s">
        <v>19</v>
      </c>
      <c r="M9" s="106"/>
      <c r="P9" s="105" t="s">
        <v>18</v>
      </c>
      <c r="Q9" s="106"/>
    </row>
    <row r="10" spans="2:17" ht="20.100000000000001" customHeight="1" x14ac:dyDescent="0.2">
      <c r="B10" s="22">
        <v>1.4</v>
      </c>
      <c r="C10" s="23" t="s">
        <v>20</v>
      </c>
      <c r="D10" s="108" t="s">
        <v>18</v>
      </c>
      <c r="E10" s="109"/>
      <c r="F10" s="109"/>
      <c r="G10" s="109"/>
      <c r="H10" s="109"/>
      <c r="I10" s="109"/>
      <c r="J10" s="106"/>
      <c r="L10" s="105" t="s">
        <v>19</v>
      </c>
      <c r="M10" s="106"/>
      <c r="P10" s="105" t="s">
        <v>18</v>
      </c>
      <c r="Q10" s="106"/>
    </row>
    <row r="11" spans="2:17" ht="20.100000000000001" customHeight="1" x14ac:dyDescent="0.2">
      <c r="B11" s="22">
        <v>1.5</v>
      </c>
      <c r="C11" s="23" t="s">
        <v>21</v>
      </c>
      <c r="D11" s="108" t="s">
        <v>18</v>
      </c>
      <c r="E11" s="109"/>
      <c r="F11" s="109"/>
      <c r="G11" s="109"/>
      <c r="H11" s="109"/>
      <c r="I11" s="109"/>
      <c r="J11" s="106"/>
      <c r="L11" s="105" t="s">
        <v>19</v>
      </c>
      <c r="M11" s="106"/>
      <c r="P11" s="105" t="s">
        <v>18</v>
      </c>
      <c r="Q11" s="106"/>
    </row>
    <row r="12" spans="2:17" ht="20.100000000000001" customHeight="1" x14ac:dyDescent="0.2">
      <c r="B12" s="22">
        <v>1.7</v>
      </c>
      <c r="C12" s="23" t="s">
        <v>22</v>
      </c>
      <c r="D12" s="24" t="s">
        <v>15</v>
      </c>
      <c r="E12" s="25" t="s">
        <v>16</v>
      </c>
      <c r="F12" s="25" t="s">
        <v>16</v>
      </c>
      <c r="G12" s="25" t="s">
        <v>16</v>
      </c>
      <c r="H12" s="25" t="s">
        <v>16</v>
      </c>
      <c r="I12" s="25" t="s">
        <v>16</v>
      </c>
      <c r="J12" s="26">
        <v>1</v>
      </c>
      <c r="L12" s="29">
        <v>50000</v>
      </c>
      <c r="M12" s="30">
        <f>J12*L12</f>
        <v>50000</v>
      </c>
      <c r="P12" s="29">
        <v>25000</v>
      </c>
      <c r="Q12" s="30">
        <f>P12</f>
        <v>25000</v>
      </c>
    </row>
    <row r="13" spans="2:17" ht="20.100000000000001" customHeight="1" x14ac:dyDescent="0.2">
      <c r="B13" s="13">
        <v>3</v>
      </c>
      <c r="C13" s="14" t="s">
        <v>27</v>
      </c>
      <c r="D13" s="19"/>
      <c r="E13" s="45"/>
      <c r="F13" s="45"/>
      <c r="G13" s="45"/>
      <c r="H13" s="45"/>
      <c r="I13" s="45"/>
      <c r="J13" s="44"/>
      <c r="L13" s="31"/>
      <c r="M13" s="30"/>
      <c r="P13" s="32"/>
      <c r="Q13" s="33"/>
    </row>
    <row r="14" spans="2:17" ht="20.100000000000001" customHeight="1" x14ac:dyDescent="0.2">
      <c r="B14" s="34">
        <v>3.1</v>
      </c>
      <c r="C14" s="35" t="s">
        <v>28</v>
      </c>
      <c r="D14" s="24" t="s">
        <v>29</v>
      </c>
      <c r="E14" s="36">
        <v>0</v>
      </c>
      <c r="F14" s="36">
        <v>25</v>
      </c>
      <c r="G14" s="36">
        <v>30</v>
      </c>
      <c r="H14" s="36">
        <v>50</v>
      </c>
      <c r="I14" s="36">
        <f>88</f>
        <v>88</v>
      </c>
      <c r="J14" s="26">
        <f>SUM(E14:I14)</f>
        <v>193</v>
      </c>
      <c r="L14" s="37">
        <v>70</v>
      </c>
      <c r="M14" s="28">
        <f>L14*J14</f>
        <v>13510</v>
      </c>
      <c r="P14" s="38"/>
      <c r="Q14" s="28"/>
    </row>
    <row r="15" spans="2:17" ht="20.100000000000001" customHeight="1" x14ac:dyDescent="0.2">
      <c r="B15" s="13">
        <v>4</v>
      </c>
      <c r="C15" s="14" t="s">
        <v>31</v>
      </c>
      <c r="D15" s="19"/>
      <c r="E15" s="45"/>
      <c r="F15" s="45"/>
      <c r="G15" s="45"/>
      <c r="H15" s="45"/>
      <c r="I15" s="45"/>
      <c r="J15" s="44"/>
      <c r="L15" s="31"/>
      <c r="M15" s="30"/>
      <c r="P15" s="32"/>
      <c r="Q15" s="33"/>
    </row>
    <row r="16" spans="2:17" ht="20.100000000000001" customHeight="1" x14ac:dyDescent="0.2">
      <c r="B16" s="34">
        <v>4.0999999999999996</v>
      </c>
      <c r="C16" s="35" t="s">
        <v>32</v>
      </c>
      <c r="D16" s="24" t="s">
        <v>29</v>
      </c>
      <c r="E16" s="36">
        <v>0</v>
      </c>
      <c r="F16" s="36">
        <v>0</v>
      </c>
      <c r="G16" s="36">
        <v>0</v>
      </c>
      <c r="H16" s="36">
        <v>10</v>
      </c>
      <c r="I16" s="36">
        <v>0</v>
      </c>
      <c r="J16" s="26">
        <f>SUM(E16:I16)</f>
        <v>10</v>
      </c>
      <c r="L16" s="31">
        <v>125</v>
      </c>
      <c r="M16" s="28">
        <f>L16*J16</f>
        <v>1250</v>
      </c>
      <c r="P16" s="32"/>
      <c r="Q16" s="28"/>
    </row>
    <row r="17" spans="2:17" ht="20.100000000000001" customHeight="1" x14ac:dyDescent="0.2">
      <c r="B17" s="16">
        <v>6</v>
      </c>
      <c r="C17" s="15" t="s">
        <v>35</v>
      </c>
      <c r="D17" s="45"/>
      <c r="E17" s="45"/>
      <c r="F17" s="45"/>
      <c r="G17" s="45"/>
      <c r="H17" s="45"/>
      <c r="I17" s="45"/>
      <c r="J17" s="44"/>
      <c r="L17" s="31"/>
      <c r="M17" s="30"/>
      <c r="P17" s="32"/>
      <c r="Q17" s="30"/>
    </row>
    <row r="18" spans="2:17" ht="20.100000000000001" customHeight="1" x14ac:dyDescent="0.2">
      <c r="B18" s="43">
        <v>6.1</v>
      </c>
      <c r="C18" s="35" t="s">
        <v>36</v>
      </c>
      <c r="D18" s="24" t="s">
        <v>29</v>
      </c>
      <c r="E18" s="24">
        <v>0</v>
      </c>
      <c r="F18" s="24">
        <v>0</v>
      </c>
      <c r="G18" s="24">
        <v>0</v>
      </c>
      <c r="H18" s="24">
        <v>0</v>
      </c>
      <c r="I18" s="24">
        <v>70</v>
      </c>
      <c r="J18" s="26">
        <f>SUM(E18:I18)</f>
        <v>70</v>
      </c>
      <c r="L18" s="31">
        <v>125</v>
      </c>
      <c r="M18" s="28">
        <f>L18*J18</f>
        <v>8750</v>
      </c>
      <c r="P18" s="38"/>
      <c r="Q18" s="28"/>
    </row>
    <row r="19" spans="2:17" ht="20.100000000000001" customHeight="1" x14ac:dyDescent="0.2">
      <c r="B19" s="56">
        <v>7</v>
      </c>
      <c r="C19" s="57" t="s">
        <v>38</v>
      </c>
      <c r="D19" s="54"/>
      <c r="E19" s="45"/>
      <c r="F19" s="45"/>
      <c r="G19" s="45"/>
      <c r="H19" s="45"/>
      <c r="I19" s="45"/>
      <c r="J19" s="44"/>
      <c r="L19" s="31"/>
      <c r="M19" s="30"/>
      <c r="P19" s="32"/>
      <c r="Q19" s="30"/>
    </row>
    <row r="20" spans="2:17" ht="20.100000000000001" customHeight="1" x14ac:dyDescent="0.2">
      <c r="B20" s="58">
        <v>7.1</v>
      </c>
      <c r="C20" s="1" t="s">
        <v>39</v>
      </c>
      <c r="D20" s="55" t="s">
        <v>29</v>
      </c>
      <c r="E20" s="24">
        <v>0</v>
      </c>
      <c r="F20" s="24">
        <f>1</f>
        <v>1</v>
      </c>
      <c r="G20" s="24">
        <f>1</f>
        <v>1</v>
      </c>
      <c r="H20" s="24">
        <f>1+1+1+1+1+1</f>
        <v>6</v>
      </c>
      <c r="I20" s="24">
        <f>10+5</f>
        <v>15</v>
      </c>
      <c r="J20" s="26">
        <f>SUM(E20:I20)</f>
        <v>23</v>
      </c>
      <c r="L20" s="31">
        <v>125</v>
      </c>
      <c r="M20" s="28">
        <f>L20*J20</f>
        <v>2875</v>
      </c>
      <c r="P20" s="38"/>
      <c r="Q20" s="28"/>
    </row>
    <row r="21" spans="2:17" ht="20.100000000000001" customHeight="1" x14ac:dyDescent="0.2">
      <c r="B21" s="58">
        <v>7.5</v>
      </c>
      <c r="C21" s="1" t="s">
        <v>91</v>
      </c>
      <c r="D21" s="55" t="s">
        <v>40</v>
      </c>
      <c r="E21" s="24">
        <v>0</v>
      </c>
      <c r="F21" s="24">
        <v>0</v>
      </c>
      <c r="G21" s="24">
        <f>3</f>
        <v>3</v>
      </c>
      <c r="H21" s="24">
        <f>2</f>
        <v>2</v>
      </c>
      <c r="I21" s="24">
        <f>12*9+5</f>
        <v>113</v>
      </c>
      <c r="J21" s="26">
        <f>SUM(E21:I21)</f>
        <v>118</v>
      </c>
      <c r="L21" s="31">
        <v>75</v>
      </c>
      <c r="M21" s="28">
        <f>L21*J21</f>
        <v>8850</v>
      </c>
      <c r="P21" s="38"/>
      <c r="Q21" s="28"/>
    </row>
    <row r="22" spans="2:17" ht="20.100000000000001" customHeight="1" x14ac:dyDescent="0.2">
      <c r="B22" s="13">
        <v>9</v>
      </c>
      <c r="C22" s="14" t="s">
        <v>41</v>
      </c>
      <c r="D22" s="19"/>
      <c r="E22" s="82"/>
      <c r="F22" s="82"/>
      <c r="G22" s="82"/>
      <c r="H22" s="82"/>
      <c r="I22" s="82"/>
      <c r="J22" s="81"/>
      <c r="L22" s="31"/>
      <c r="M22" s="30"/>
      <c r="P22" s="32"/>
      <c r="Q22" s="33"/>
    </row>
    <row r="23" spans="2:17" ht="20.100000000000001" customHeight="1" x14ac:dyDescent="0.2">
      <c r="B23" s="22">
        <v>9.3000000000000007</v>
      </c>
      <c r="C23" s="35" t="s">
        <v>42</v>
      </c>
      <c r="D23" s="24" t="s">
        <v>43</v>
      </c>
      <c r="E23" s="36">
        <v>0</v>
      </c>
      <c r="F23" s="36">
        <f>F25</f>
        <v>180</v>
      </c>
      <c r="G23" s="36">
        <f t="shared" ref="G23:I23" si="0">G25</f>
        <v>60</v>
      </c>
      <c r="H23" s="36">
        <f t="shared" si="0"/>
        <v>60</v>
      </c>
      <c r="I23" s="36">
        <f t="shared" si="0"/>
        <v>140</v>
      </c>
      <c r="J23" s="26">
        <f>SUM(E23:I23)</f>
        <v>440</v>
      </c>
      <c r="L23" s="31">
        <v>40</v>
      </c>
      <c r="M23" s="28">
        <f>L23*J23</f>
        <v>17600</v>
      </c>
      <c r="P23" s="32"/>
      <c r="Q23" s="28"/>
    </row>
    <row r="24" spans="2:17" ht="20.100000000000001" customHeight="1" x14ac:dyDescent="0.2">
      <c r="B24" s="13">
        <v>10</v>
      </c>
      <c r="C24" s="14" t="s">
        <v>44</v>
      </c>
      <c r="D24" s="19"/>
      <c r="E24" s="45"/>
      <c r="F24" s="45"/>
      <c r="G24" s="45"/>
      <c r="H24" s="45"/>
      <c r="I24" s="45"/>
      <c r="J24" s="44"/>
      <c r="L24" s="31"/>
      <c r="M24" s="30"/>
      <c r="P24" s="32"/>
      <c r="Q24" s="33"/>
    </row>
    <row r="25" spans="2:17" ht="19.5" customHeight="1" x14ac:dyDescent="0.2">
      <c r="B25" s="22">
        <v>10.3</v>
      </c>
      <c r="C25" s="35" t="s">
        <v>90</v>
      </c>
      <c r="D25" s="24" t="s">
        <v>43</v>
      </c>
      <c r="E25" s="36">
        <v>0</v>
      </c>
      <c r="F25" s="36">
        <f>30*2+60+60</f>
        <v>180</v>
      </c>
      <c r="G25" s="36">
        <f t="shared" ref="G25" si="1">30*2</f>
        <v>60</v>
      </c>
      <c r="H25" s="36">
        <f>30*2</f>
        <v>60</v>
      </c>
      <c r="I25" s="36">
        <f>30*2+80</f>
        <v>140</v>
      </c>
      <c r="J25" s="26">
        <f>SUM(E25:I25)</f>
        <v>440</v>
      </c>
      <c r="L25" s="31">
        <v>150</v>
      </c>
      <c r="M25" s="28">
        <f>L25*J25</f>
        <v>66000</v>
      </c>
      <c r="P25" s="32"/>
      <c r="Q25" s="28"/>
    </row>
    <row r="26" spans="2:17" ht="19.5" customHeight="1" x14ac:dyDescent="0.2">
      <c r="B26" s="22">
        <v>10.7</v>
      </c>
      <c r="C26" s="35" t="s">
        <v>101</v>
      </c>
      <c r="D26" s="24" t="s">
        <v>43</v>
      </c>
      <c r="E26" s="36">
        <v>0</v>
      </c>
      <c r="F26" s="36">
        <v>0</v>
      </c>
      <c r="G26" s="36">
        <v>0</v>
      </c>
      <c r="H26" s="36">
        <v>0</v>
      </c>
      <c r="I26" s="36">
        <f>4+4+4+4</f>
        <v>16</v>
      </c>
      <c r="J26" s="26">
        <f>SUM(E26:I26)</f>
        <v>16</v>
      </c>
      <c r="L26" s="31">
        <v>150</v>
      </c>
      <c r="M26" s="28">
        <f>L26*J26</f>
        <v>2400</v>
      </c>
      <c r="P26" s="32"/>
      <c r="Q26" s="28"/>
    </row>
    <row r="27" spans="2:17" ht="20.100000000000001" customHeight="1" x14ac:dyDescent="0.2">
      <c r="B27" s="13">
        <v>11</v>
      </c>
      <c r="C27" s="14" t="s">
        <v>46</v>
      </c>
      <c r="D27" s="19"/>
      <c r="E27" s="45"/>
      <c r="F27" s="45"/>
      <c r="G27" s="45"/>
      <c r="H27" s="45"/>
      <c r="I27" s="45"/>
      <c r="J27" s="44"/>
      <c r="L27" s="31"/>
      <c r="M27" s="30"/>
      <c r="P27" s="32"/>
      <c r="Q27" s="33"/>
    </row>
    <row r="28" spans="2:17" ht="20.100000000000001" customHeight="1" x14ac:dyDescent="0.2">
      <c r="B28" s="22">
        <v>11.1</v>
      </c>
      <c r="C28" s="23" t="s">
        <v>47</v>
      </c>
      <c r="D28" s="24" t="s">
        <v>43</v>
      </c>
      <c r="E28" s="36">
        <v>0</v>
      </c>
      <c r="F28" s="36">
        <v>100</v>
      </c>
      <c r="G28" s="36">
        <v>100</v>
      </c>
      <c r="H28" s="36">
        <v>300</v>
      </c>
      <c r="I28" s="36">
        <v>500</v>
      </c>
      <c r="J28" s="26">
        <f>SUM(E28:I28)</f>
        <v>1000</v>
      </c>
      <c r="L28" s="31">
        <v>4</v>
      </c>
      <c r="M28" s="28">
        <f>L28*J28</f>
        <v>4000</v>
      </c>
      <c r="P28" s="32"/>
      <c r="Q28" s="28"/>
    </row>
    <row r="29" spans="2:17" ht="20.100000000000001" customHeight="1" x14ac:dyDescent="0.2">
      <c r="B29" s="22">
        <v>11.2</v>
      </c>
      <c r="C29" s="23" t="s">
        <v>48</v>
      </c>
      <c r="D29" s="24" t="s">
        <v>49</v>
      </c>
      <c r="E29" s="36">
        <v>0</v>
      </c>
      <c r="F29" s="36">
        <v>0</v>
      </c>
      <c r="G29" s="36">
        <f>ROUND((30*4+3*14)*2,-1)</f>
        <v>320</v>
      </c>
      <c r="H29" s="36">
        <f t="shared" ref="H29" si="2">ROUND(3080+(3*38+3*70+3*20)*2,-1)</f>
        <v>3850</v>
      </c>
      <c r="I29" s="36">
        <f>ROUND(3080+(3*38+3*70+3*20)*2+234,-1)</f>
        <v>4080</v>
      </c>
      <c r="J29" s="26" t="s">
        <v>97</v>
      </c>
      <c r="L29" s="31">
        <f>4*N29</f>
        <v>33000</v>
      </c>
      <c r="M29" s="28">
        <f>L29*1</f>
        <v>33000</v>
      </c>
      <c r="N29" s="17">
        <f t="shared" ref="N29:N34" si="3">SUM(E29:I29)</f>
        <v>8250</v>
      </c>
      <c r="P29" s="32"/>
      <c r="Q29" s="28"/>
    </row>
    <row r="30" spans="2:17" ht="20.100000000000001" customHeight="1" x14ac:dyDescent="0.2">
      <c r="B30" s="22">
        <v>11.3</v>
      </c>
      <c r="C30" s="23" t="s">
        <v>50</v>
      </c>
      <c r="D30" s="24" t="s">
        <v>49</v>
      </c>
      <c r="E30" s="36">
        <v>0</v>
      </c>
      <c r="F30" s="36">
        <v>0</v>
      </c>
      <c r="G30" s="36">
        <f>4*6</f>
        <v>24</v>
      </c>
      <c r="H30" s="36">
        <f>ROUND(4*32*2,-1)</f>
        <v>260</v>
      </c>
      <c r="I30" s="36">
        <f>ROUND((4*72+4*21+4*17)*2+4*8,-1)</f>
        <v>910</v>
      </c>
      <c r="J30" s="26" t="s">
        <v>104</v>
      </c>
      <c r="L30" s="31">
        <f t="shared" ref="L30:L31" si="4">4*N30</f>
        <v>4776</v>
      </c>
      <c r="M30" s="28">
        <f t="shared" ref="M30:M33" si="5">L30*1</f>
        <v>4776</v>
      </c>
      <c r="N30" s="17">
        <f t="shared" si="3"/>
        <v>1194</v>
      </c>
      <c r="P30" s="38"/>
      <c r="Q30" s="39"/>
    </row>
    <row r="31" spans="2:17" ht="20.100000000000001" customHeight="1" x14ac:dyDescent="0.2">
      <c r="B31" s="22">
        <v>11.4</v>
      </c>
      <c r="C31" s="23" t="s">
        <v>51</v>
      </c>
      <c r="D31" s="24" t="s">
        <v>49</v>
      </c>
      <c r="E31" s="36">
        <v>0</v>
      </c>
      <c r="F31" s="36">
        <v>0</v>
      </c>
      <c r="G31" s="36">
        <f>ROUND(59*6*2,-1)</f>
        <v>710</v>
      </c>
      <c r="H31" s="36">
        <f>ROUND((59*10+59*36+59*26)*2,-1)</f>
        <v>8500</v>
      </c>
      <c r="I31" s="36">
        <f>ROUND((59*10+59*36+59*26)*2,-1)</f>
        <v>8500</v>
      </c>
      <c r="J31" s="26" t="s">
        <v>98</v>
      </c>
      <c r="L31" s="31">
        <f t="shared" si="4"/>
        <v>70840</v>
      </c>
      <c r="M31" s="28">
        <f t="shared" si="5"/>
        <v>70840</v>
      </c>
      <c r="N31" s="17">
        <f t="shared" si="3"/>
        <v>17710</v>
      </c>
      <c r="P31" s="32"/>
      <c r="Q31" s="28"/>
    </row>
    <row r="32" spans="2:17" ht="20.100000000000001" customHeight="1" x14ac:dyDescent="0.2">
      <c r="B32" s="22">
        <v>11.5</v>
      </c>
      <c r="C32" s="23" t="s">
        <v>52</v>
      </c>
      <c r="D32" s="24" t="s">
        <v>43</v>
      </c>
      <c r="E32" s="36">
        <v>50</v>
      </c>
      <c r="F32" s="36">
        <v>200</v>
      </c>
      <c r="G32" s="36">
        <v>50</v>
      </c>
      <c r="H32" s="36">
        <v>50</v>
      </c>
      <c r="I32" s="36">
        <v>0</v>
      </c>
      <c r="J32" s="26">
        <f>SUM(E32:I32)</f>
        <v>350</v>
      </c>
      <c r="L32" s="31">
        <v>60</v>
      </c>
      <c r="M32" s="28">
        <f>L32*J32</f>
        <v>21000</v>
      </c>
      <c r="N32" s="17">
        <f t="shared" si="3"/>
        <v>350</v>
      </c>
      <c r="P32" s="38"/>
      <c r="Q32" s="39"/>
    </row>
    <row r="33" spans="2:17" ht="20.100000000000001" customHeight="1" x14ac:dyDescent="0.2">
      <c r="B33" s="22">
        <v>11.7</v>
      </c>
      <c r="C33" s="23" t="s">
        <v>53</v>
      </c>
      <c r="D33" s="24" t="s">
        <v>49</v>
      </c>
      <c r="E33" s="36">
        <v>0</v>
      </c>
      <c r="F33" s="36">
        <v>0</v>
      </c>
      <c r="G33" s="36">
        <f>ROUND(30*3+4*4,-1)</f>
        <v>110</v>
      </c>
      <c r="H33" s="36">
        <f t="shared" ref="H33" si="6">ROUND(2821+19*4+8*4,-1)</f>
        <v>2930</v>
      </c>
      <c r="I33" s="36">
        <f>ROUND(2821+19*4+8*4,-1)</f>
        <v>2930</v>
      </c>
      <c r="J33" s="26" t="s">
        <v>99</v>
      </c>
      <c r="L33" s="31">
        <f>4*N33</f>
        <v>23880</v>
      </c>
      <c r="M33" s="28">
        <f t="shared" si="5"/>
        <v>23880</v>
      </c>
      <c r="N33" s="17">
        <f t="shared" si="3"/>
        <v>5970</v>
      </c>
      <c r="P33" s="38"/>
      <c r="Q33" s="39"/>
    </row>
    <row r="34" spans="2:17" ht="20.100000000000001" customHeight="1" x14ac:dyDescent="0.2">
      <c r="B34" s="22">
        <v>11.8</v>
      </c>
      <c r="C34" s="23" t="s">
        <v>87</v>
      </c>
      <c r="D34" s="24" t="s">
        <v>43</v>
      </c>
      <c r="E34" s="36">
        <v>0</v>
      </c>
      <c r="F34" s="36">
        <f>30+30+15+15</f>
        <v>90</v>
      </c>
      <c r="G34" s="36">
        <v>0</v>
      </c>
      <c r="H34" s="36">
        <v>0</v>
      </c>
      <c r="I34" s="36">
        <v>0</v>
      </c>
      <c r="J34" s="26">
        <f>SUM(E34:I34)</f>
        <v>90</v>
      </c>
      <c r="L34" s="31">
        <f>4</f>
        <v>4</v>
      </c>
      <c r="M34" s="28">
        <f>L34*J34</f>
        <v>360</v>
      </c>
      <c r="N34" s="17">
        <f t="shared" si="3"/>
        <v>90</v>
      </c>
      <c r="P34" s="38"/>
      <c r="Q34" s="39"/>
    </row>
    <row r="35" spans="2:17" ht="20.100000000000001" customHeight="1" x14ac:dyDescent="0.2">
      <c r="B35" s="22">
        <v>11.9</v>
      </c>
      <c r="C35" s="23" t="s">
        <v>55</v>
      </c>
      <c r="D35" s="24" t="s">
        <v>43</v>
      </c>
      <c r="E35" s="36">
        <v>0</v>
      </c>
      <c r="F35" s="36">
        <v>0</v>
      </c>
      <c r="G35" s="36">
        <v>0</v>
      </c>
      <c r="H35" s="36">
        <v>0</v>
      </c>
      <c r="I35" s="36">
        <f>3+3+2+2</f>
        <v>10</v>
      </c>
      <c r="J35" s="26">
        <f>SUM(E35:I35)</f>
        <v>10</v>
      </c>
      <c r="L35" s="31">
        <f>10</f>
        <v>10</v>
      </c>
      <c r="M35" s="28">
        <f>L35*J35</f>
        <v>100</v>
      </c>
      <c r="P35" s="38"/>
      <c r="Q35" s="39"/>
    </row>
    <row r="36" spans="2:17" ht="20.100000000000001" customHeight="1" x14ac:dyDescent="0.2">
      <c r="B36" s="50">
        <v>15</v>
      </c>
      <c r="C36" s="51" t="s">
        <v>56</v>
      </c>
      <c r="D36" s="45"/>
      <c r="E36" s="45"/>
      <c r="F36" s="45"/>
      <c r="G36" s="45"/>
      <c r="H36" s="45"/>
      <c r="I36" s="45"/>
      <c r="J36" s="44"/>
      <c r="K36" s="40"/>
      <c r="L36" s="31"/>
      <c r="M36" s="30"/>
      <c r="O36" s="40"/>
      <c r="P36" s="32"/>
      <c r="Q36" s="33"/>
    </row>
    <row r="37" spans="2:17" ht="20.100000000000001" customHeight="1" x14ac:dyDescent="0.2">
      <c r="B37" s="52">
        <v>15.1</v>
      </c>
      <c r="C37" s="53" t="s">
        <v>57</v>
      </c>
      <c r="D37" s="55" t="s">
        <v>25</v>
      </c>
      <c r="E37" s="24">
        <v>0</v>
      </c>
      <c r="F37" s="24">
        <v>0</v>
      </c>
      <c r="G37" s="24">
        <v>0</v>
      </c>
      <c r="H37" s="24">
        <f>ROUND(3632+3569,-1)</f>
        <v>7200</v>
      </c>
      <c r="I37" s="24">
        <f>ROUND(86377,-1)</f>
        <v>86380</v>
      </c>
      <c r="J37" s="26" t="s">
        <v>96</v>
      </c>
      <c r="L37" s="37">
        <f>0.6*N37</f>
        <v>56148</v>
      </c>
      <c r="M37" s="28">
        <f>1*L37</f>
        <v>56148</v>
      </c>
      <c r="N37" s="17">
        <f>SUM(E37:I37)</f>
        <v>93580</v>
      </c>
      <c r="P37" s="38"/>
      <c r="Q37" s="28"/>
    </row>
    <row r="38" spans="2:17" ht="20.100000000000001" customHeight="1" x14ac:dyDescent="0.2">
      <c r="B38" s="50">
        <v>16</v>
      </c>
      <c r="C38" s="51" t="s">
        <v>59</v>
      </c>
      <c r="D38" s="54"/>
      <c r="E38" s="45"/>
      <c r="F38" s="45"/>
      <c r="G38" s="45"/>
      <c r="H38" s="45"/>
      <c r="I38" s="45"/>
      <c r="J38" s="44"/>
      <c r="K38" s="40"/>
      <c r="L38" s="31"/>
      <c r="M38" s="30"/>
      <c r="O38" s="40"/>
      <c r="P38" s="32"/>
      <c r="Q38" s="33"/>
    </row>
    <row r="39" spans="2:17" ht="20.100000000000001" customHeight="1" x14ac:dyDescent="0.2">
      <c r="B39" s="52">
        <v>16.399999999999999</v>
      </c>
      <c r="C39" s="53" t="s">
        <v>88</v>
      </c>
      <c r="D39" s="55" t="s">
        <v>29</v>
      </c>
      <c r="E39" s="24">
        <v>0</v>
      </c>
      <c r="F39" s="24">
        <v>1800</v>
      </c>
      <c r="G39" s="24">
        <v>0</v>
      </c>
      <c r="H39" s="24">
        <v>0</v>
      </c>
      <c r="I39" s="24">
        <v>0</v>
      </c>
      <c r="J39" s="26">
        <f>SUM(E39:I39)</f>
        <v>1800</v>
      </c>
      <c r="L39" s="37">
        <v>3</v>
      </c>
      <c r="M39" s="28">
        <f>J39*L39</f>
        <v>5400</v>
      </c>
      <c r="P39" s="38"/>
      <c r="Q39" s="28"/>
    </row>
    <row r="40" spans="2:17" ht="19.899999999999999" customHeight="1" x14ac:dyDescent="0.2">
      <c r="B40" s="50">
        <v>25</v>
      </c>
      <c r="C40" s="51" t="s">
        <v>66</v>
      </c>
      <c r="D40" s="54"/>
      <c r="E40" s="45"/>
      <c r="F40" s="45"/>
      <c r="G40" s="45"/>
      <c r="H40" s="45"/>
      <c r="I40" s="45"/>
      <c r="J40" s="44"/>
      <c r="K40" s="40"/>
      <c r="L40" s="31"/>
      <c r="M40" s="30"/>
      <c r="O40" s="40"/>
      <c r="P40" s="32"/>
      <c r="Q40" s="33"/>
    </row>
    <row r="41" spans="2:17" ht="20.100000000000001" customHeight="1" x14ac:dyDescent="0.2">
      <c r="B41" s="59">
        <v>25.6</v>
      </c>
      <c r="C41" s="1" t="s">
        <v>67</v>
      </c>
      <c r="D41" s="55" t="s">
        <v>15</v>
      </c>
      <c r="E41" s="24" t="s">
        <v>16</v>
      </c>
      <c r="F41" s="24" t="s">
        <v>16</v>
      </c>
      <c r="G41" s="24" t="s">
        <v>16</v>
      </c>
      <c r="H41" s="24" t="s">
        <v>16</v>
      </c>
      <c r="I41" s="24" t="s">
        <v>16</v>
      </c>
      <c r="J41" s="26">
        <v>1</v>
      </c>
      <c r="L41" s="37">
        <v>5000</v>
      </c>
      <c r="M41" s="28">
        <f>J41*L41</f>
        <v>5000</v>
      </c>
      <c r="P41" s="38"/>
      <c r="Q41" s="28"/>
    </row>
    <row r="42" spans="2:17" ht="19.899999999999999" customHeight="1" x14ac:dyDescent="0.2">
      <c r="B42" s="13">
        <v>43</v>
      </c>
      <c r="C42" s="14" t="s">
        <v>71</v>
      </c>
      <c r="D42" s="45"/>
      <c r="E42" s="45"/>
      <c r="F42" s="45"/>
      <c r="G42" s="45"/>
      <c r="H42" s="45"/>
      <c r="I42" s="45"/>
      <c r="J42" s="44"/>
      <c r="L42" s="31"/>
      <c r="M42" s="30"/>
      <c r="P42" s="32"/>
      <c r="Q42" s="33"/>
    </row>
    <row r="43" spans="2:17" ht="20.100000000000001" customHeight="1" x14ac:dyDescent="0.2">
      <c r="B43" s="22">
        <v>43.3</v>
      </c>
      <c r="C43" s="41" t="s">
        <v>103</v>
      </c>
      <c r="D43" s="24" t="s">
        <v>40</v>
      </c>
      <c r="E43" s="36">
        <v>0</v>
      </c>
      <c r="F43" s="36">
        <v>0</v>
      </c>
      <c r="G43" s="36">
        <f>1+1</f>
        <v>2</v>
      </c>
      <c r="H43" s="36">
        <v>0</v>
      </c>
      <c r="I43" s="36">
        <v>1</v>
      </c>
      <c r="J43" s="26">
        <f>SUM(E43:I43)</f>
        <v>3</v>
      </c>
      <c r="K43" s="40"/>
      <c r="L43" s="37">
        <v>250</v>
      </c>
      <c r="M43" s="28">
        <f>L43*J43</f>
        <v>750</v>
      </c>
      <c r="O43" s="40"/>
      <c r="P43" s="38"/>
      <c r="Q43" s="28"/>
    </row>
    <row r="44" spans="2:17" ht="20.100000000000001" customHeight="1" x14ac:dyDescent="0.2">
      <c r="B44" s="22">
        <v>43.4</v>
      </c>
      <c r="C44" s="41" t="s">
        <v>102</v>
      </c>
      <c r="D44" s="24" t="s">
        <v>40</v>
      </c>
      <c r="E44" s="36">
        <v>1</v>
      </c>
      <c r="F44" s="36">
        <f>2</f>
        <v>2</v>
      </c>
      <c r="G44" s="36">
        <f>1+1</f>
        <v>2</v>
      </c>
      <c r="H44" s="36">
        <v>1</v>
      </c>
      <c r="I44" s="36">
        <v>1</v>
      </c>
      <c r="J44" s="26">
        <f>SUM(E44:I44)</f>
        <v>7</v>
      </c>
      <c r="K44" s="40"/>
      <c r="L44" s="37">
        <v>250</v>
      </c>
      <c r="M44" s="28">
        <f>L44*J44</f>
        <v>1750</v>
      </c>
      <c r="O44" s="40"/>
      <c r="P44" s="38"/>
      <c r="Q44" s="28"/>
    </row>
    <row r="45" spans="2:17" ht="19.899999999999999" customHeight="1" x14ac:dyDescent="0.2">
      <c r="B45" s="13">
        <v>45</v>
      </c>
      <c r="C45" s="51" t="s">
        <v>73</v>
      </c>
      <c r="D45" s="45"/>
      <c r="E45" s="45"/>
      <c r="F45" s="45"/>
      <c r="G45" s="45"/>
      <c r="H45" s="45"/>
      <c r="I45" s="45"/>
      <c r="J45" s="44"/>
      <c r="K45" s="64"/>
      <c r="L45" s="31"/>
      <c r="M45" s="30"/>
      <c r="N45" s="66"/>
      <c r="O45" s="40"/>
      <c r="P45" s="32"/>
      <c r="Q45" s="33"/>
    </row>
    <row r="46" spans="2:17" ht="20.100000000000001" customHeight="1" x14ac:dyDescent="0.2">
      <c r="B46" s="52">
        <v>45.1</v>
      </c>
      <c r="C46" s="60" t="s">
        <v>74</v>
      </c>
      <c r="D46" s="55" t="s">
        <v>25</v>
      </c>
      <c r="E46" s="36">
        <v>0</v>
      </c>
      <c r="F46" s="36">
        <v>0</v>
      </c>
      <c r="G46" s="36">
        <f>H37</f>
        <v>7200</v>
      </c>
      <c r="H46" s="36">
        <f>I46</f>
        <v>86380</v>
      </c>
      <c r="I46" s="36">
        <f>I37</f>
        <v>86380</v>
      </c>
      <c r="J46" s="26" t="s">
        <v>95</v>
      </c>
      <c r="K46" s="64"/>
      <c r="L46" s="37">
        <f>0.15*N46</f>
        <v>26994</v>
      </c>
      <c r="M46" s="28">
        <f>L46*1</f>
        <v>26994</v>
      </c>
      <c r="N46" s="66">
        <f>SUM(E46:I46)</f>
        <v>179960</v>
      </c>
      <c r="O46" s="40"/>
      <c r="P46" s="38"/>
      <c r="Q46" s="28"/>
    </row>
    <row r="47" spans="2:17" ht="20.100000000000001" customHeight="1" x14ac:dyDescent="0.2">
      <c r="B47" s="22">
        <v>45.5</v>
      </c>
      <c r="C47" s="41" t="s">
        <v>89</v>
      </c>
      <c r="D47" s="24" t="s">
        <v>40</v>
      </c>
      <c r="E47" s="36">
        <v>0</v>
      </c>
      <c r="F47" s="36">
        <v>0</v>
      </c>
      <c r="G47" s="36">
        <v>0</v>
      </c>
      <c r="H47" s="36">
        <v>0</v>
      </c>
      <c r="I47" s="36">
        <f>2+1+1+2</f>
        <v>6</v>
      </c>
      <c r="J47" s="26">
        <f>SUM(E47:I47)</f>
        <v>6</v>
      </c>
      <c r="K47" s="40"/>
      <c r="L47" s="37">
        <v>250</v>
      </c>
      <c r="M47" s="28">
        <f>L47*J47</f>
        <v>1500</v>
      </c>
      <c r="O47" s="40"/>
      <c r="P47" s="38"/>
      <c r="Q47" s="28"/>
    </row>
    <row r="48" spans="2:17" ht="20.100000000000001" customHeight="1" thickBot="1" x14ac:dyDescent="0.25">
      <c r="B48" s="22">
        <v>45.9</v>
      </c>
      <c r="C48" s="41" t="s">
        <v>100</v>
      </c>
      <c r="D48" s="24" t="s">
        <v>40</v>
      </c>
      <c r="E48" s="36">
        <v>0</v>
      </c>
      <c r="F48" s="36">
        <v>0</v>
      </c>
      <c r="G48" s="36">
        <v>0</v>
      </c>
      <c r="H48" s="36">
        <v>0</v>
      </c>
      <c r="I48" s="36">
        <v>8</v>
      </c>
      <c r="J48" s="26">
        <f>SUM(E48:I48)</f>
        <v>8</v>
      </c>
      <c r="K48" s="40"/>
      <c r="L48" s="37">
        <v>150</v>
      </c>
      <c r="M48" s="28">
        <f>L48*J48</f>
        <v>1200</v>
      </c>
      <c r="O48" s="40"/>
      <c r="P48" s="101"/>
      <c r="Q48" s="102"/>
    </row>
    <row r="49" spans="2:19" ht="19.899999999999999" customHeight="1" thickTop="1" thickBot="1" x14ac:dyDescent="0.25">
      <c r="B49" s="86"/>
      <c r="C49" s="87"/>
      <c r="D49" s="85"/>
      <c r="E49" s="88"/>
      <c r="F49" s="88"/>
      <c r="G49" s="88"/>
      <c r="H49" s="88"/>
      <c r="I49" s="88"/>
      <c r="J49" s="89" t="s">
        <v>80</v>
      </c>
      <c r="K49" s="64"/>
      <c r="L49" s="90"/>
      <c r="M49" s="91"/>
      <c r="N49" s="66"/>
      <c r="O49" s="40"/>
      <c r="P49" s="103"/>
      <c r="Q49" s="104"/>
    </row>
    <row r="50" spans="2:19" customFormat="1" ht="20.100000000000001" customHeight="1" thickTop="1" x14ac:dyDescent="0.25">
      <c r="B50" s="110" t="s">
        <v>81</v>
      </c>
      <c r="C50" s="111"/>
      <c r="D50" s="111"/>
      <c r="E50" s="111"/>
      <c r="F50" s="111"/>
      <c r="G50" s="111"/>
      <c r="H50" s="111"/>
      <c r="I50" s="111"/>
      <c r="J50" s="111"/>
      <c r="K50" s="94"/>
      <c r="L50" s="94"/>
      <c r="M50" s="95"/>
      <c r="N50" s="96"/>
      <c r="O50" s="97"/>
      <c r="P50" s="97"/>
      <c r="Q50" s="68"/>
      <c r="R50" s="70"/>
      <c r="S50" s="71"/>
    </row>
    <row r="51" spans="2:19" customFormat="1" ht="20.100000000000001" customHeight="1" thickBot="1" x14ac:dyDescent="0.3">
      <c r="B51" s="112"/>
      <c r="C51" s="113"/>
      <c r="D51" s="113"/>
      <c r="E51" s="113"/>
      <c r="F51" s="113"/>
      <c r="G51" s="113"/>
      <c r="H51" s="113"/>
      <c r="I51" s="113"/>
      <c r="J51" s="113"/>
      <c r="K51" s="98"/>
      <c r="L51" s="98"/>
      <c r="M51" s="99"/>
      <c r="N51" s="100"/>
      <c r="O51" s="72"/>
      <c r="P51" s="72"/>
      <c r="Q51" s="69"/>
      <c r="R51" s="70"/>
      <c r="S51" s="71"/>
    </row>
    <row r="52" spans="2:19" ht="20.100000000000001" hidden="1" customHeight="1" thickTop="1" x14ac:dyDescent="0.2">
      <c r="B52" s="17" t="s">
        <v>82</v>
      </c>
    </row>
    <row r="53" spans="2:19" ht="20.100000000000001" hidden="1" customHeight="1" x14ac:dyDescent="0.2">
      <c r="B53" s="17" t="s">
        <v>83</v>
      </c>
      <c r="M53" s="42">
        <f>SUM(M12:M47)</f>
        <v>426733</v>
      </c>
    </row>
    <row r="54" spans="2:19" ht="20.100000000000001" customHeight="1" thickTop="1" x14ac:dyDescent="0.2">
      <c r="K54" s="17" t="s">
        <v>84</v>
      </c>
      <c r="M54" s="42">
        <f>SUM(M12:M47,M8)</f>
        <v>469406.3</v>
      </c>
    </row>
    <row r="56" spans="2:19" ht="20.100000000000001" customHeight="1" x14ac:dyDescent="0.2">
      <c r="M56" s="42"/>
    </row>
    <row r="57" spans="2:19" ht="20.100000000000001" customHeight="1" x14ac:dyDescent="0.2">
      <c r="M57" s="42"/>
    </row>
    <row r="58" spans="2:19" ht="19.5" customHeight="1" x14ac:dyDescent="0.2">
      <c r="M58" s="42"/>
    </row>
    <row r="61" spans="2:19" ht="20.100000000000001" customHeight="1" x14ac:dyDescent="0.2"/>
    <row r="62" spans="2:19" ht="20.100000000000001" customHeight="1" x14ac:dyDescent="0.2"/>
    <row r="63" spans="2:19" ht="20.100000000000001" customHeight="1" x14ac:dyDescent="0.2"/>
    <row r="64" spans="2:19" ht="20.100000000000001" customHeight="1" x14ac:dyDescent="0.2"/>
    <row r="65" ht="20.100000000000001" customHeight="1" x14ac:dyDescent="0.2"/>
  </sheetData>
  <mergeCells count="15">
    <mergeCell ref="P9:Q9"/>
    <mergeCell ref="B1:G1"/>
    <mergeCell ref="B2:C2"/>
    <mergeCell ref="B3:C3"/>
    <mergeCell ref="D9:J9"/>
    <mergeCell ref="L9:M9"/>
    <mergeCell ref="B4:Q4"/>
    <mergeCell ref="B5:Q5"/>
    <mergeCell ref="B50:J51"/>
    <mergeCell ref="D10:J10"/>
    <mergeCell ref="L10:M10"/>
    <mergeCell ref="P10:Q10"/>
    <mergeCell ref="D11:J11"/>
    <mergeCell ref="L11:M11"/>
    <mergeCell ref="P11:Q11"/>
  </mergeCells>
  <printOptions horizontalCentered="1"/>
  <pageMargins left="0.25" right="0.25" top="0.75" bottom="0.75" header="0.3" footer="0.3"/>
  <pageSetup scale="73" orientation="portrait" r:id="rId1"/>
  <headerFooter scaleWithDoc="0" alignWithMargins="0">
    <oddHeader>&amp;C&amp;12ATTACHMENT A
ITB23KO-103</oddHeader>
    <oddFooter>&amp;R3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1B23F2D910C48A8A81DE32195C66E" ma:contentTypeVersion="11" ma:contentTypeDescription="Create a new document." ma:contentTypeScope="" ma:versionID="b7679760ab0ad5d4cd063e6a9cb99fbb">
  <xsd:schema xmlns:xsd="http://www.w3.org/2001/XMLSchema" xmlns:xs="http://www.w3.org/2001/XMLSchema" xmlns:p="http://schemas.microsoft.com/office/2006/metadata/properties" xmlns:ns2="2500c639-738d-4f81-ab67-2cdfa692921a" targetNamespace="http://schemas.microsoft.com/office/2006/metadata/properties" ma:root="true" ma:fieldsID="09f3b0dcc319335d0f745ac90ab6a306" ns2:_="">
    <xsd:import namespace="2500c639-738d-4f81-ab67-2cdfa6929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0c639-738d-4f81-ab67-2cdfa6929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42DFB-BDFE-4560-9637-1AF6CB904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00c639-738d-4f81-ab67-2cdfa6929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94460D-684C-4382-988D-AD234851F898}">
  <ds:schemaRefs>
    <ds:schemaRef ds:uri="http://purl.org/dc/terms/"/>
    <ds:schemaRef ds:uri="http://schemas.openxmlformats.org/package/2006/metadata/core-properties"/>
    <ds:schemaRef ds:uri="2500c639-738d-4f81-ab67-2cdfa692921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BE4C69-440F-451A-B6C4-3658074C1E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Garage III - WI Schedule</vt:lpstr>
      <vt:lpstr>Garage VII - WI Schedule</vt:lpstr>
      <vt:lpstr>Garage IX - WI Schedule</vt:lpstr>
      <vt:lpstr>'Garage III - WI Schedule'!Print_Area</vt:lpstr>
      <vt:lpstr>'Garage IX - WI Schedule'!Print_Area</vt:lpstr>
      <vt:lpstr>'Garage VII - WI Schedule'!Print_Area</vt:lpstr>
      <vt:lpstr>'Garage III - WI Schedule'!Print_Titles</vt:lpstr>
      <vt:lpstr>'Garage IX - WI Schedule'!Print_Titles</vt:lpstr>
      <vt:lpstr>'Garage VII - WI Schedule'!Print_Titles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Sobaski</dc:creator>
  <cp:keywords/>
  <dc:description/>
  <cp:lastModifiedBy>Olitsky,Karen J</cp:lastModifiedBy>
  <cp:revision/>
  <cp:lastPrinted>2022-06-20T18:58:10Z</cp:lastPrinted>
  <dcterms:created xsi:type="dcterms:W3CDTF">2001-03-27T14:00:21Z</dcterms:created>
  <dcterms:modified xsi:type="dcterms:W3CDTF">2022-07-22T12:54:42Z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0x0101008D71B23F2D910C48A8A81DE32195C66E</vt:lpwstr>
  </property>
</Properties>
</file>